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0" windowWidth="11340" windowHeight="6540" tabRatio="598" activeTab="0"/>
  </bookViews>
  <sheets>
    <sheet name="липень" sheetId="1" r:id="rId1"/>
    <sheet name="червень" sheetId="2" r:id="rId2"/>
    <sheet name="травень" sheetId="3" r:id="rId3"/>
    <sheet name="квітень" sheetId="4" r:id="rId4"/>
    <sheet name="березень" sheetId="5" r:id="rId5"/>
    <sheet name="лютий" sheetId="6" r:id="rId6"/>
    <sheet name="січень-2" sheetId="7" r:id="rId7"/>
    <sheet name="січень" sheetId="8" r:id="rId8"/>
  </sheets>
  <definedNames>
    <definedName name="_xlnm.Print_Area" localSheetId="7">'січень'!$A$1:$R$87</definedName>
    <definedName name="_xlnm.Print_Area" localSheetId="1">'червень'!$B$2:$J$85</definedName>
  </definedNames>
  <calcPr fullCalcOnLoad="1"/>
</workbook>
</file>

<file path=xl/sharedStrings.xml><?xml version="1.0" encoding="utf-8"?>
<sst xmlns="http://schemas.openxmlformats.org/spreadsheetml/2006/main" count="1026" uniqueCount="190">
  <si>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</si>
  <si>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</si>
  <si>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</si>
  <si>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</si>
  <si>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</si>
  <si>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</si>
  <si>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</si>
  <si>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</si>
  <si>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</si>
  <si>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</si>
  <si>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</si>
  <si>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Податок на прибуток підприємств і організацій, що належать до комунальної власності</t>
  </si>
  <si>
    <t>Неподаткові надходження</t>
  </si>
  <si>
    <t>Інші надходження</t>
  </si>
  <si>
    <t xml:space="preserve">Плата за оренду цілісних майнових комплексів та іншого майна </t>
  </si>
  <si>
    <t>Державне мито</t>
  </si>
  <si>
    <t>Адмінстративні штрафи та інші санкції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</si>
  <si>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</si>
  <si>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</si>
  <si>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</si>
  <si>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</si>
  <si>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</si>
  <si>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</si>
  <si>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</si>
  <si>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</si>
  <si>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</si>
  <si>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Виконання з початку року</t>
  </si>
  <si>
    <t>ЗАГАЛЬНИЙ ФОНД</t>
  </si>
  <si>
    <t>Разом доходів загального фонду</t>
  </si>
  <si>
    <t>СПЕЦІАЛЬНИЙ ФОНД</t>
  </si>
  <si>
    <t>Надходження від відчуження майна, що знаходиться у комунальній власності</t>
  </si>
  <si>
    <t>Надходження від продажу землі</t>
  </si>
  <si>
    <t>Разом доходів спеціального фонду</t>
  </si>
  <si>
    <t>Всього доходів</t>
  </si>
  <si>
    <t>Фактично надійшло з початку року</t>
  </si>
  <si>
    <t>Довідково :</t>
  </si>
  <si>
    <t>робочих днів</t>
  </si>
  <si>
    <t xml:space="preserve">              - до кінця місяця залишилось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</si>
  <si>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</si>
  <si>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</si>
  <si>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</si>
  <si>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</si>
  <si>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</si>
  <si>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</si>
  <si>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</si>
  <si>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</si>
  <si>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</si>
  <si>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Екологічний податок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</si>
  <si>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</si>
  <si>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</si>
  <si>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</si>
  <si>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Збір за забруднення навколишнього природного середовища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</si>
  <si>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</si>
  <si>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 xml:space="preserve">Інші надходження </t>
  </si>
  <si>
    <t xml:space="preserve">    - для забезпечення виконання плану по доходах загального фонду щоденно необхідно отримувати </t>
  </si>
  <si>
    <t>Надходження коштів пайової участі у розвитку інфраструктури населеного пункту</t>
  </si>
  <si>
    <t xml:space="preserve">              Фактично надійшло податків за останні 3 дні до загального фонду (тис.грн.) :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</si>
  <si>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</si>
  <si>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>Надходження коштів від Держ фонду дорогоцінних металів та дорогоцінного каміння</t>
  </si>
  <si>
    <t xml:space="preserve"> </t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</si>
  <si>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 - </t>
    </r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</si>
  <si>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</si>
  <si>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</si>
  <si>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</si>
  <si>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</si>
  <si>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грн.</t>
  </si>
  <si>
    <t>Виконано у січні</t>
  </si>
  <si>
    <t>в т.ч. авансові внески по податку на прибуток</t>
  </si>
  <si>
    <t>11</t>
  </si>
  <si>
    <t>12</t>
  </si>
  <si>
    <t>13</t>
  </si>
  <si>
    <t>14</t>
  </si>
  <si>
    <t>15</t>
  </si>
  <si>
    <t>16</t>
  </si>
  <si>
    <t>Акцизний податок з реалізації суб`єктами господарювання роздрібної торгівлі підакцизних товарів</t>
  </si>
  <si>
    <t>Рентна плата за користування надрами для видобування корисних копалин місцевого значення</t>
  </si>
  <si>
    <t xml:space="preserve">Місцеві податки </t>
  </si>
  <si>
    <t xml:space="preserve">податок на нерухоме майно </t>
  </si>
  <si>
    <t>транспортний податок</t>
  </si>
  <si>
    <t>плата за землю</t>
  </si>
  <si>
    <t>Плата за розміщення  тимчасово вільних коштів місцевих бюджетів</t>
  </si>
  <si>
    <t>Плата за надання інших адміністративних послуг</t>
  </si>
  <si>
    <t>Податок та збір на доходи фізичних осіб</t>
  </si>
  <si>
    <t>Адміністративні штрафи та штрафні санкції за порушення законодавства у сфері виробництва та обігу  алкогольних напоїв та тютюнових виробів</t>
  </si>
  <si>
    <t xml:space="preserve"> - Податок на майно</t>
  </si>
  <si>
    <t xml:space="preserve"> - Туристичний збір</t>
  </si>
  <si>
    <t xml:space="preserve"> - Збір за провадження деяких видів підприємницької діяльності, що справлявся до 1 січня 2015 року</t>
  </si>
  <si>
    <t xml:space="preserve"> - Єдиний податок</t>
  </si>
  <si>
    <t>Рентна плата за спеціальне використання лісових ресурсів</t>
  </si>
  <si>
    <t>ПДФО- військові</t>
  </si>
  <si>
    <t>ПДФО- декларування</t>
  </si>
  <si>
    <t>ПДФО- пенсії</t>
  </si>
  <si>
    <t>ПДФО- інші ніж з/п від податкових агентів</t>
  </si>
  <si>
    <t>ПДФО- зарплата від податкових агентів</t>
  </si>
  <si>
    <t>єдиний до 01.01.2011</t>
  </si>
  <si>
    <t>єдиний юр. особи</t>
  </si>
  <si>
    <t>єдиний фіз. особи</t>
  </si>
  <si>
    <t>єдиний с/г</t>
  </si>
  <si>
    <r>
      <t xml:space="preserve">д/м     </t>
    </r>
    <r>
      <rPr>
        <b/>
        <i/>
        <sz val="12"/>
        <rFont val="Times New Roman"/>
        <family val="1"/>
      </rPr>
      <t>інші</t>
    </r>
  </si>
  <si>
    <r>
      <t xml:space="preserve">д/м    </t>
    </r>
    <r>
      <rPr>
        <b/>
        <i/>
        <sz val="12"/>
        <rFont val="Times New Roman"/>
        <family val="1"/>
      </rPr>
      <t xml:space="preserve">патенти </t>
    </r>
    <r>
      <rPr>
        <i/>
        <sz val="12"/>
        <rFont val="Times New Roman"/>
        <family val="1"/>
      </rPr>
      <t>на право інтелект. власності</t>
    </r>
  </si>
  <si>
    <r>
      <t xml:space="preserve">д/м    </t>
    </r>
    <r>
      <rPr>
        <b/>
        <i/>
        <sz val="12"/>
        <rFont val="Times New Roman"/>
        <family val="1"/>
      </rPr>
      <t>паспорти</t>
    </r>
  </si>
  <si>
    <r>
      <t xml:space="preserve">д/м    </t>
    </r>
    <r>
      <rPr>
        <b/>
        <i/>
        <sz val="12"/>
        <rFont val="Times New Roman"/>
        <family val="1"/>
      </rPr>
      <t xml:space="preserve"> спадщина</t>
    </r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</si>
  <si>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</si>
  <si>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05.01.16 </t>
    </r>
    <r>
      <rPr>
        <b/>
        <sz val="10"/>
        <rFont val="Times New Roman"/>
        <family val="1"/>
      </rPr>
      <t>включно</t>
    </r>
  </si>
  <si>
    <t>Тимчасовий план  на січень-</t>
  </si>
  <si>
    <t>Відхилення (+,-) до  плану на І квартал 2016 року</t>
  </si>
  <si>
    <t>% виконання  плану на І квартал 2016 рік</t>
  </si>
  <si>
    <r>
      <t>Уточнений план на</t>
    </r>
    <r>
      <rPr>
        <b/>
        <sz val="11"/>
        <color indexed="10"/>
        <rFont val="Times New Roman"/>
        <family val="1"/>
      </rPr>
      <t xml:space="preserve"> січень</t>
    </r>
    <r>
      <rPr>
        <b/>
        <sz val="11"/>
        <rFont val="Times New Roman"/>
        <family val="1"/>
      </rPr>
      <t xml:space="preserve">  місяць  </t>
    </r>
  </si>
  <si>
    <t>Динаміка  фактичних надходжень січень 2016 та 2015 років</t>
  </si>
  <si>
    <t>Відхилення (+,-) до  плану на січень 2016 року</t>
  </si>
  <si>
    <t>% виконання  плану на січень 2016 року</t>
  </si>
  <si>
    <t>Адміністративний збір за державну реєстрацію речових прав на нерухоме майно та їх обтяжень</t>
  </si>
  <si>
    <t>Податок з власників транспортних засобів та інших самохідних машин і механізмів</t>
  </si>
  <si>
    <t xml:space="preserve">Плата за гарантії, надані  міськими радами 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</si>
  <si>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01.02.2016</t>
    </r>
    <r>
      <rPr>
        <b/>
        <sz val="16"/>
        <rFont val="Times New Roman"/>
        <family val="1"/>
      </rPr>
      <t>р.</t>
    </r>
  </si>
  <si>
    <r>
      <rPr>
        <b/>
        <sz val="11"/>
        <color indexed="10"/>
        <rFont val="Times New Roman"/>
        <family val="1"/>
      </rPr>
      <t>Тимчасовий</t>
    </r>
    <r>
      <rPr>
        <b/>
        <sz val="11"/>
        <rFont val="Times New Roman"/>
        <family val="1"/>
      </rPr>
      <t xml:space="preserve"> план на І квартал  2016 року</t>
    </r>
  </si>
  <si>
    <t>Відхилення (+,-) до  плану на січень-лютий 2016 року</t>
  </si>
  <si>
    <t>% виконання  плану на січень-лютий 2016 року</t>
  </si>
  <si>
    <t>Динаміка  фактичних надходжень січень-лютий 2016 та 2015 років</t>
  </si>
  <si>
    <t>Виконано у лютому</t>
  </si>
  <si>
    <t>Динаміка  фактичних надходжень лютий 2016 та 2015 років</t>
  </si>
  <si>
    <r>
      <rPr>
        <b/>
        <sz val="11"/>
        <color indexed="10"/>
        <rFont val="Times New Roman"/>
        <family val="1"/>
      </rPr>
      <t>Затверджений</t>
    </r>
    <r>
      <rPr>
        <b/>
        <sz val="11"/>
        <rFont val="Times New Roman"/>
        <family val="1"/>
      </rPr>
      <t xml:space="preserve"> план на 2016 рік</t>
    </r>
  </si>
  <si>
    <t>Відхилення (+,-) до  плану на 2016 рік</t>
  </si>
  <si>
    <t>% виконання  плану на 2016 рік</t>
  </si>
  <si>
    <t>Адміністративний збір за проведення державної реєстрації юридичних осіб та фізичних осіб - підпр</t>
  </si>
  <si>
    <t>Плата за скорочення термінів надання послуг у сфері державної реєстрації речових прав на нерухоме майно</t>
  </si>
  <si>
    <t>Динаміка  фактичних надходжень січень     років</t>
  </si>
  <si>
    <t>Затверджений план  на січень-лютий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</si>
  <si>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лютий</t>
    </r>
    <r>
      <rPr>
        <b/>
        <sz val="11"/>
        <rFont val="Times New Roman"/>
        <family val="1"/>
      </rPr>
      <t xml:space="preserve">  місяць  </t>
    </r>
  </si>
  <si>
    <t>Затверджений план  на січень</t>
  </si>
  <si>
    <t>Відхилення (+,-) до  плану на січень- 2016 року</t>
  </si>
  <si>
    <t>% виконання  плану на січень- 2016 року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</si>
  <si>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січень</t>
    </r>
    <r>
      <rPr>
        <b/>
        <sz val="11"/>
        <rFont val="Times New Roman"/>
        <family val="1"/>
      </rPr>
      <t xml:space="preserve">  місяць  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</si>
  <si>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29.01.16 </t>
    </r>
    <r>
      <rPr>
        <b/>
        <sz val="10"/>
        <rFont val="Times New Roman"/>
        <family val="1"/>
      </rPr>
      <t>включно</t>
    </r>
  </si>
  <si>
    <t>Динаміка  фактичних надходжень січень- 2016 та 2015 років</t>
  </si>
  <si>
    <t>ЗАТВЕРДЖЕНИЙ ПЛАН</t>
  </si>
  <si>
    <t>ТИМЧАСОВИЙ ПЛАН</t>
  </si>
  <si>
    <t xml:space="preserve">             </t>
  </si>
  <si>
    <r>
      <t>СПЕЦІАЛЬНИЙ ФОНД</t>
    </r>
    <r>
      <rPr>
        <sz val="10"/>
        <rFont val="Times New Roman"/>
        <family val="1"/>
      </rPr>
      <t xml:space="preserve"> (БЕЗ ВЛАСНИХ НАДХОДЖЕНЬ)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</si>
  <si>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01.03.2016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</si>
  <si>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29.02.16 </t>
    </r>
    <r>
      <rPr>
        <b/>
        <sz val="10"/>
        <rFont val="Times New Roman"/>
        <family val="1"/>
      </rPr>
      <t>включно</t>
    </r>
  </si>
  <si>
    <t>Відхилення (+,-) до  плану на січень-березень 2016 року</t>
  </si>
  <si>
    <t>% виконання  плану на січень-березень 2016 року</t>
  </si>
  <si>
    <t>Виконано у березні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</si>
  <si>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січень-березень</t>
    </r>
    <r>
      <rPr>
        <b/>
        <sz val="10"/>
        <rFont val="Times New Roman"/>
        <family val="1"/>
      </rPr>
      <t xml:space="preserve"> 2016 та 2015 років</t>
    </r>
  </si>
  <si>
    <t>Місцеві податки (ринковий збір)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</si>
  <si>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січень-березень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</si>
  <si>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березень</t>
    </r>
    <r>
      <rPr>
        <b/>
        <sz val="11"/>
        <rFont val="Times New Roman"/>
        <family val="1"/>
      </rPr>
      <t xml:space="preserve">  місяць  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</si>
  <si>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 01.04.2016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</si>
  <si>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31.03.16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</si>
  <si>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січень-квітень</t>
    </r>
  </si>
  <si>
    <t>Відхилення (+,-) до  плану на січень-квітень 2016 року</t>
  </si>
  <si>
    <t>% виконання  плану на січень-квітень 2016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</si>
  <si>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квітень</t>
    </r>
    <r>
      <rPr>
        <b/>
        <sz val="11"/>
        <rFont val="Times New Roman"/>
        <family val="1"/>
      </rPr>
      <t xml:space="preserve">  місяць  </t>
    </r>
  </si>
  <si>
    <t>Виконано у квітні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</si>
  <si>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січень-квітень</t>
    </r>
    <r>
      <rPr>
        <b/>
        <sz val="10"/>
        <rFont val="Times New Roman"/>
        <family val="1"/>
      </rPr>
      <t xml:space="preserve"> 2016 та 2015 років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</si>
  <si>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 01.05.2016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</si>
  <si>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29.04.16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</si>
  <si>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січень-травень</t>
    </r>
  </si>
  <si>
    <t>Відхилення (+,-) до  плану на січень-травень 2016 року</t>
  </si>
  <si>
    <t>% виконання  плану на січень-травень 2016 року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</si>
  <si>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січень-травень</t>
    </r>
    <r>
      <rPr>
        <b/>
        <sz val="10"/>
        <rFont val="Times New Roman"/>
        <family val="1"/>
      </rPr>
      <t xml:space="preserve"> 2016 та 2015 років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</si>
  <si>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травень</t>
    </r>
    <r>
      <rPr>
        <b/>
        <sz val="11"/>
        <rFont val="Times New Roman"/>
        <family val="1"/>
      </rPr>
      <t xml:space="preserve">  місяць  </t>
    </r>
  </si>
  <si>
    <t>Виконано у травні</t>
  </si>
  <si>
    <t>житлове</t>
  </si>
  <si>
    <t>нежитлове</t>
  </si>
  <si>
    <t>податок</t>
  </si>
  <si>
    <t>оренда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</si>
  <si>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 01.06.2016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</si>
  <si>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31.05.16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</si>
  <si>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січень-червень</t>
    </r>
  </si>
  <si>
    <t>Відхилення (+,-) до  плану на січень-червень 2016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</si>
  <si>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червень</t>
    </r>
    <r>
      <rPr>
        <b/>
        <sz val="11"/>
        <rFont val="Times New Roman"/>
        <family val="1"/>
      </rPr>
      <t xml:space="preserve">  місяць  </t>
    </r>
  </si>
  <si>
    <t>Виконано у червні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</si>
  <si>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січень-червень</t>
    </r>
    <r>
      <rPr>
        <b/>
        <sz val="10"/>
        <rFont val="Times New Roman"/>
        <family val="1"/>
      </rPr>
      <t xml:space="preserve"> 2016 та 2015 років</t>
    </r>
  </si>
  <si>
    <t>% виконання  плану на січень-червень 2016 року</t>
  </si>
  <si>
    <t>hh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</si>
  <si>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 01.07.2016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</si>
  <si>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30.06.16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</si>
  <si>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січень-липень</t>
    </r>
  </si>
  <si>
    <t>Відхилення (+,-) до  плану на січень-липень 2016 року</t>
  </si>
  <si>
    <t>% виконання  плану на січень-липень 2016 року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</si>
  <si>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січень-липень</t>
    </r>
    <r>
      <rPr>
        <b/>
        <sz val="10"/>
        <rFont val="Times New Roman"/>
        <family val="1"/>
      </rPr>
      <t xml:space="preserve"> 2016 та 2015 років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</si>
  <si>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липень</t>
    </r>
    <r>
      <rPr>
        <b/>
        <sz val="11"/>
        <rFont val="Times New Roman"/>
        <family val="1"/>
      </rPr>
      <t xml:space="preserve">  місяць  </t>
    </r>
  </si>
  <si>
    <t>Виконано у липні</t>
  </si>
  <si>
    <t xml:space="preserve"> + -</t>
  </si>
  <si>
    <t>факт 2015</t>
  </si>
  <si>
    <t xml:space="preserve"> - Збір за місця для паркування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</si>
  <si>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25.07.2016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</si>
  <si>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22.07.16 </t>
    </r>
    <r>
      <rPr>
        <b/>
        <sz val="10"/>
        <rFont val="Times New Roman"/>
        <family val="1"/>
      </rPr>
      <t>включно</t>
    </r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</si>
</sst>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000"/>
    <numFmt numFmtId="181" formatCode="000000"/>
    <numFmt numFmtId="182" formatCode="#,##0.0"/>
    <numFmt numFmtId="183" formatCode="0.0"/>
    <numFmt numFmtId="184" formatCode="dd/mm/yy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-FC19]d\ mmmm\ yyyy\ &quot;г.&quot;"/>
    <numFmt numFmtId="189" formatCode="dd/mm/yy;@"/>
    <numFmt numFmtId="190" formatCode="[$-422]d\ mmmm\ yyyy&quot; р.&quot;"/>
    <numFmt numFmtId="191" formatCode="0.0%"/>
  </numFmts>
  <fonts count="84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8"/>
      <name val="Arial Cyr"/>
      <family val="0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2"/>
    </font>
    <font>
      <b/>
      <i/>
      <sz val="8"/>
      <color indexed="12"/>
      <name val="Arial Cyr"/>
      <family val="0"/>
    </font>
    <font>
      <b/>
      <sz val="12"/>
      <name val="Arial Cyr"/>
      <family val="0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10"/>
      <color indexed="10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name val="Times New Roman"/>
      <family val="1"/>
    </font>
    <font>
      <i/>
      <sz val="12"/>
      <color indexed="10"/>
      <name val="Times New Roman"/>
      <family val="1"/>
    </font>
    <font>
      <b/>
      <u val="single"/>
      <sz val="11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4"/>
      <color indexed="10"/>
      <name val="Times New Roman"/>
      <family val="1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4"/>
      <color rgb="FFFF0000"/>
      <name val="Times New Roman"/>
      <family val="1"/>
    </font>
    <font>
      <b/>
      <i/>
      <sz val="14"/>
      <color rgb="FFFF0000"/>
      <name val="Times New Roman"/>
      <family val="1"/>
    </font>
    <font>
      <b/>
      <sz val="16"/>
      <color theme="1"/>
      <name val="Times New Roman"/>
      <family val="1"/>
    </font>
    <font>
      <sz val="16"/>
      <color theme="1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C0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27" fillId="0" borderId="0">
      <alignment/>
      <protection/>
    </xf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1" applyNumberFormat="0" applyAlignment="0" applyProtection="0"/>
    <xf numFmtId="0" fontId="64" fillId="27" borderId="2" applyNumberFormat="0" applyAlignment="0" applyProtection="0"/>
    <xf numFmtId="0" fontId="65" fillId="27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70" fillId="28" borderId="7" applyNumberFormat="0" applyAlignment="0" applyProtection="0"/>
    <xf numFmtId="0" fontId="71" fillId="0" borderId="0" applyNumberFormat="0" applyFill="0" applyBorder="0" applyAlignment="0" applyProtection="0"/>
    <xf numFmtId="0" fontId="72" fillId="29" borderId="0" applyNumberFormat="0" applyBorder="0" applyAlignment="0" applyProtection="0"/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73" fillId="30" borderId="0" applyNumberFormat="0" applyBorder="0" applyAlignment="0" applyProtection="0"/>
    <xf numFmtId="0" fontId="7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5" fillId="0" borderId="9" applyNumberFormat="0" applyFill="0" applyAlignment="0" applyProtection="0"/>
    <xf numFmtId="0" fontId="26" fillId="0" borderId="0">
      <alignment/>
      <protection/>
    </xf>
    <xf numFmtId="0" fontId="7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7" fillId="32" borderId="0" applyNumberFormat="0" applyBorder="0" applyAlignment="0" applyProtection="0"/>
  </cellStyleXfs>
  <cellXfs count="325">
    <xf numFmtId="0" fontId="0" fillId="0" borderId="0" xfId="0" applyAlignment="1">
      <alignment/>
    </xf>
    <xf numFmtId="0" fontId="2" fillId="0" borderId="0" xfId="54" applyFont="1" applyProtection="1">
      <alignment/>
      <protection/>
    </xf>
    <xf numFmtId="0" fontId="3" fillId="0" borderId="0" xfId="54" applyFont="1" applyAlignment="1" applyProtection="1">
      <alignment horizontal="center"/>
      <protection/>
    </xf>
    <xf numFmtId="0" fontId="7" fillId="0" borderId="0" xfId="54" applyFont="1" applyFill="1" applyProtection="1">
      <alignment/>
      <protection/>
    </xf>
    <xf numFmtId="0" fontId="7" fillId="0" borderId="0" xfId="54" applyFont="1" applyProtection="1">
      <alignment/>
      <protection/>
    </xf>
    <xf numFmtId="0" fontId="9" fillId="33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/>
      <protection/>
    </xf>
    <xf numFmtId="180" fontId="7" fillId="0" borderId="11" xfId="54" applyNumberFormat="1" applyFont="1" applyBorder="1" applyAlignment="1" applyProtection="1">
      <alignment horizontal="center" vertical="center" wrapText="1"/>
      <protection/>
    </xf>
    <xf numFmtId="180" fontId="7" fillId="0" borderId="12" xfId="54" applyNumberFormat="1" applyFont="1" applyBorder="1" applyAlignment="1" applyProtection="1">
      <alignment horizontal="center" vertical="center" wrapText="1"/>
      <protection/>
    </xf>
    <xf numFmtId="180" fontId="7" fillId="33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0" xfId="54" applyNumberFormat="1" applyFont="1" applyBorder="1" applyAlignment="1" applyProtection="1">
      <alignment horizontal="center" vertical="center" wrapText="1"/>
      <protection/>
    </xf>
    <xf numFmtId="0" fontId="4" fillId="0" borderId="10" xfId="54" applyFont="1" applyBorder="1" applyAlignment="1" applyProtection="1">
      <alignment horizontal="center" vertical="center"/>
      <protection/>
    </xf>
    <xf numFmtId="0" fontId="7" fillId="0" borderId="10" xfId="54" applyFont="1" applyBorder="1" applyAlignment="1" applyProtection="1">
      <alignment vertical="center" wrapText="1"/>
      <protection/>
    </xf>
    <xf numFmtId="0" fontId="7" fillId="0" borderId="10" xfId="54" applyFont="1" applyBorder="1" applyAlignment="1" applyProtection="1">
      <alignment vertical="center" wrapText="1"/>
      <protection/>
    </xf>
    <xf numFmtId="49" fontId="3" fillId="34" borderId="10" xfId="0" applyNumberFormat="1" applyFont="1" applyFill="1" applyBorder="1" applyAlignment="1" applyProtection="1">
      <alignment horizontal="center" vertical="center" wrapText="1"/>
      <protection/>
    </xf>
    <xf numFmtId="182" fontId="6" fillId="34" borderId="10" xfId="0" applyNumberFormat="1" applyFont="1" applyFill="1" applyBorder="1" applyAlignment="1" applyProtection="1">
      <alignment horizontal="right"/>
      <protection/>
    </xf>
    <xf numFmtId="0" fontId="3" fillId="34" borderId="10" xfId="54" applyFont="1" applyFill="1" applyBorder="1" applyAlignment="1" applyProtection="1">
      <alignment horizontal="center" vertical="center" wrapText="1"/>
      <protection/>
    </xf>
    <xf numFmtId="0" fontId="3" fillId="0" borderId="0" xfId="54" applyFont="1" applyAlignment="1" applyProtection="1">
      <alignment horizontal="right"/>
      <protection/>
    </xf>
    <xf numFmtId="0" fontId="9" fillId="33" borderId="13" xfId="0" applyNumberFormat="1" applyFont="1" applyFill="1" applyBorder="1" applyAlignment="1" applyProtection="1">
      <alignment horizontal="center" vertical="center"/>
      <protection/>
    </xf>
    <xf numFmtId="49" fontId="15" fillId="0" borderId="10" xfId="54" applyNumberFormat="1" applyFont="1" applyBorder="1" applyAlignment="1" applyProtection="1">
      <alignment horizontal="center" vertical="center" wrapText="1"/>
      <protection/>
    </xf>
    <xf numFmtId="0" fontId="6" fillId="0" borderId="0" xfId="54" applyFont="1" applyProtection="1">
      <alignment/>
      <protection/>
    </xf>
    <xf numFmtId="0" fontId="3" fillId="34" borderId="10" xfId="54" applyFont="1" applyFill="1" applyBorder="1" applyAlignment="1" applyProtection="1">
      <alignment horizontal="center"/>
      <protection/>
    </xf>
    <xf numFmtId="0" fontId="6" fillId="0" borderId="10" xfId="54" applyFont="1" applyFill="1" applyBorder="1" applyAlignment="1" applyProtection="1">
      <alignment horizontal="center"/>
      <protection/>
    </xf>
    <xf numFmtId="0" fontId="7" fillId="0" borderId="10" xfId="54" applyFont="1" applyFill="1" applyBorder="1" applyAlignment="1" applyProtection="1">
      <alignment wrapText="1"/>
      <protection/>
    </xf>
    <xf numFmtId="182" fontId="6" fillId="34" borderId="10" xfId="54" applyNumberFormat="1" applyFont="1" applyFill="1" applyBorder="1" applyProtection="1">
      <alignment/>
      <protection/>
    </xf>
    <xf numFmtId="182" fontId="7" fillId="0" borderId="10" xfId="54" applyNumberFormat="1" applyFont="1" applyFill="1" applyBorder="1" applyProtection="1">
      <alignment/>
      <protection/>
    </xf>
    <xf numFmtId="183" fontId="7" fillId="0" borderId="0" xfId="54" applyNumberFormat="1" applyFont="1" applyProtection="1">
      <alignment/>
      <protection/>
    </xf>
    <xf numFmtId="0" fontId="7" fillId="0" borderId="14" xfId="0" applyFont="1" applyBorder="1" applyAlignment="1">
      <alignment wrapText="1"/>
    </xf>
    <xf numFmtId="182" fontId="6" fillId="34" borderId="10" xfId="0" applyNumberFormat="1" applyFont="1" applyFill="1" applyBorder="1" applyAlignment="1" applyProtection="1">
      <alignment/>
      <protection/>
    </xf>
    <xf numFmtId="0" fontId="6" fillId="0" borderId="10" xfId="54" applyFont="1" applyFill="1" applyBorder="1" applyAlignment="1" applyProtection="1">
      <alignment wrapText="1"/>
      <protection/>
    </xf>
    <xf numFmtId="182" fontId="6" fillId="0" borderId="10" xfId="54" applyNumberFormat="1" applyFont="1" applyFill="1" applyBorder="1" applyProtection="1">
      <alignment/>
      <protection/>
    </xf>
    <xf numFmtId="182" fontId="7" fillId="0" borderId="0" xfId="54" applyNumberFormat="1" applyFo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7" fillId="0" borderId="10" xfId="0" applyNumberFormat="1" applyFont="1" applyFill="1" applyBorder="1" applyAlignment="1" applyProtection="1">
      <alignment horizontal="right"/>
      <protection/>
    </xf>
    <xf numFmtId="49" fontId="4" fillId="0" borderId="14" xfId="54" applyNumberFormat="1" applyFont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wrapText="1"/>
    </xf>
    <xf numFmtId="182" fontId="7" fillId="0" borderId="10" xfId="0" applyNumberFormat="1" applyFont="1" applyFill="1" applyBorder="1" applyAlignment="1" applyProtection="1">
      <alignment horizontal="right"/>
      <protection/>
    </xf>
    <xf numFmtId="182" fontId="6" fillId="34" borderId="10" xfId="0" applyNumberFormat="1" applyFont="1" applyFill="1" applyBorder="1" applyAlignment="1" applyProtection="1">
      <alignment horizontal="right"/>
      <protection/>
    </xf>
    <xf numFmtId="182" fontId="6" fillId="34" borderId="10" xfId="0" applyNumberFormat="1" applyFont="1" applyFill="1" applyBorder="1" applyAlignment="1" applyProtection="1">
      <alignment horizontal="right"/>
      <protection locked="0"/>
    </xf>
    <xf numFmtId="182" fontId="6" fillId="0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7" fillId="34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16" fillId="0" borderId="10" xfId="0" applyNumberFormat="1" applyFont="1" applyFill="1" applyBorder="1" applyAlignment="1" applyProtection="1">
      <alignment/>
      <protection/>
    </xf>
    <xf numFmtId="1" fontId="4" fillId="33" borderId="10" xfId="0" applyNumberFormat="1" applyFont="1" applyFill="1" applyBorder="1" applyAlignment="1" applyProtection="1">
      <alignment/>
      <protection/>
    </xf>
    <xf numFmtId="0" fontId="4" fillId="0" borderId="10" xfId="54" applyFont="1" applyBorder="1" applyAlignment="1" applyProtection="1">
      <alignment vertical="center"/>
      <protection/>
    </xf>
    <xf numFmtId="0" fontId="7" fillId="0" borderId="10" xfId="54" applyFont="1" applyBorder="1" applyAlignment="1" applyProtection="1">
      <alignment horizontal="left" vertical="center" wrapText="1"/>
      <protection/>
    </xf>
    <xf numFmtId="180" fontId="7" fillId="0" borderId="0" xfId="0" applyNumberFormat="1" applyFont="1" applyFill="1" applyBorder="1" applyAlignment="1" applyProtection="1">
      <alignment horizontal="center" vertical="center" wrapText="1"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6" fillId="0" borderId="10" xfId="0" applyNumberFormat="1" applyFont="1" applyFill="1" applyBorder="1" applyAlignment="1" applyProtection="1">
      <alignment horizontal="right"/>
      <protection locked="0"/>
    </xf>
    <xf numFmtId="0" fontId="10" fillId="0" borderId="0" xfId="0" applyFont="1" applyFill="1" applyAlignment="1" applyProtection="1">
      <alignment/>
      <protection/>
    </xf>
    <xf numFmtId="0" fontId="4" fillId="0" borderId="10" xfId="54" applyFont="1" applyBorder="1" applyAlignment="1" applyProtection="1">
      <alignment horizontal="right"/>
      <protection/>
    </xf>
    <xf numFmtId="0" fontId="19" fillId="0" borderId="10" xfId="54" applyFont="1" applyBorder="1" applyAlignment="1" applyProtection="1">
      <alignment horizontal="right" vertical="center" wrapText="1"/>
      <protection/>
    </xf>
    <xf numFmtId="0" fontId="7" fillId="0" borderId="0" xfId="54" applyFont="1" applyAlignment="1" applyProtection="1">
      <alignment horizontal="left"/>
      <protection/>
    </xf>
    <xf numFmtId="0" fontId="7" fillId="0" borderId="0" xfId="54" applyFont="1" applyAlignment="1" applyProtection="1">
      <alignment horizontal="left" wrapText="1"/>
      <protection/>
    </xf>
    <xf numFmtId="0" fontId="7" fillId="0" borderId="0" xfId="54" applyFont="1" applyAlignment="1" applyProtection="1">
      <alignment wrapText="1"/>
      <protection/>
    </xf>
    <xf numFmtId="182" fontId="16" fillId="0" borderId="10" xfId="0" applyNumberFormat="1" applyFont="1" applyFill="1" applyBorder="1" applyAlignment="1" applyProtection="1">
      <alignment/>
      <protection/>
    </xf>
    <xf numFmtId="49" fontId="21" fillId="0" borderId="10" xfId="0" applyNumberFormat="1" applyFont="1" applyFill="1" applyBorder="1" applyAlignment="1" applyProtection="1">
      <alignment horizontal="center" vertical="center" wrapText="1"/>
      <protection/>
    </xf>
    <xf numFmtId="49" fontId="22" fillId="0" borderId="10" xfId="0" applyNumberFormat="1" applyFont="1" applyFill="1" applyBorder="1" applyAlignment="1" applyProtection="1">
      <alignment horizontal="center" vertical="center" wrapText="1"/>
      <protection/>
    </xf>
    <xf numFmtId="182" fontId="23" fillId="0" borderId="10" xfId="0" applyNumberFormat="1" applyFont="1" applyFill="1" applyBorder="1" applyAlignment="1" applyProtection="1">
      <alignment horizontal="right"/>
      <protection/>
    </xf>
    <xf numFmtId="182" fontId="23" fillId="0" borderId="10" xfId="0" applyNumberFormat="1" applyFont="1" applyFill="1" applyBorder="1" applyAlignment="1" applyProtection="1">
      <alignment/>
      <protection/>
    </xf>
    <xf numFmtId="182" fontId="24" fillId="0" borderId="10" xfId="0" applyNumberFormat="1" applyFont="1" applyFill="1" applyBorder="1" applyAlignment="1" applyProtection="1">
      <alignment/>
      <protection/>
    </xf>
    <xf numFmtId="49" fontId="8" fillId="0" borderId="10" xfId="54" applyNumberFormat="1" applyFont="1" applyBorder="1" applyAlignment="1" applyProtection="1">
      <alignment horizontal="center" vertical="center" wrapText="1"/>
      <protection/>
    </xf>
    <xf numFmtId="0" fontId="10" fillId="0" borderId="10" xfId="54" applyFont="1" applyBorder="1" applyAlignment="1" applyProtection="1">
      <alignment vertical="center"/>
      <protection/>
    </xf>
    <xf numFmtId="1" fontId="25" fillId="34" borderId="10" xfId="0" applyNumberFormat="1" applyFont="1" applyFill="1" applyBorder="1" applyAlignment="1" applyProtection="1">
      <alignment/>
      <protection/>
    </xf>
    <xf numFmtId="1" fontId="25" fillId="0" borderId="10" xfId="0" applyNumberFormat="1" applyFont="1" applyFill="1" applyBorder="1" applyAlignment="1" applyProtection="1">
      <alignment/>
      <protection/>
    </xf>
    <xf numFmtId="0" fontId="10" fillId="0" borderId="10" xfId="54" applyFont="1" applyFill="1" applyBorder="1" applyAlignment="1" applyProtection="1">
      <alignment/>
      <protection/>
    </xf>
    <xf numFmtId="0" fontId="25" fillId="0" borderId="10" xfId="54" applyFont="1" applyFill="1" applyBorder="1" applyAlignment="1" applyProtection="1">
      <alignment/>
      <protection/>
    </xf>
    <xf numFmtId="0" fontId="10" fillId="34" borderId="10" xfId="54" applyFont="1" applyFill="1" applyBorder="1" applyProtection="1">
      <alignment/>
      <protection/>
    </xf>
    <xf numFmtId="0" fontId="10" fillId="0" borderId="0" xfId="54" applyFont="1" applyProtection="1">
      <alignment/>
      <protection/>
    </xf>
    <xf numFmtId="182" fontId="7" fillId="0" borderId="0" xfId="54" applyNumberFormat="1" applyFont="1" applyFill="1" applyBorder="1" applyProtection="1">
      <alignment/>
      <protection/>
    </xf>
    <xf numFmtId="0" fontId="7" fillId="0" borderId="0" xfId="54" applyFont="1" applyBorder="1" applyProtection="1">
      <alignment/>
      <protection/>
    </xf>
    <xf numFmtId="49" fontId="6" fillId="34" borderId="10" xfId="0" applyNumberFormat="1" applyFont="1" applyFill="1" applyBorder="1" applyAlignment="1" applyProtection="1">
      <alignment/>
      <protection/>
    </xf>
    <xf numFmtId="0" fontId="4" fillId="0" borderId="10" xfId="0" applyFont="1" applyBorder="1" applyAlignment="1">
      <alignment/>
    </xf>
    <xf numFmtId="0" fontId="4" fillId="0" borderId="10" xfId="54" applyFont="1" applyBorder="1" applyAlignment="1" applyProtection="1">
      <alignment/>
      <protection/>
    </xf>
    <xf numFmtId="0" fontId="4" fillId="0" borderId="10" xfId="54" applyFont="1" applyFill="1" applyBorder="1" applyAlignment="1" applyProtection="1">
      <alignment/>
      <protection/>
    </xf>
    <xf numFmtId="0" fontId="9" fillId="0" borderId="10" xfId="54" applyFont="1" applyFill="1" applyBorder="1" applyAlignment="1" applyProtection="1">
      <alignment/>
      <protection/>
    </xf>
    <xf numFmtId="0" fontId="4" fillId="0" borderId="15" xfId="0" applyFont="1" applyBorder="1" applyAlignment="1">
      <alignment/>
    </xf>
    <xf numFmtId="0" fontId="7" fillId="0" borderId="0" xfId="54" applyFont="1" applyAlignment="1" applyProtection="1">
      <alignment horizontal="center"/>
      <protection/>
    </xf>
    <xf numFmtId="182" fontId="16" fillId="0" borderId="10" xfId="0" applyNumberFormat="1" applyFont="1" applyFill="1" applyBorder="1" applyAlignment="1" applyProtection="1">
      <alignment horizontal="right"/>
      <protection/>
    </xf>
    <xf numFmtId="4" fontId="7" fillId="0" borderId="0" xfId="54" applyNumberFormat="1" applyFont="1" applyProtection="1">
      <alignment/>
      <protection/>
    </xf>
    <xf numFmtId="4" fontId="28" fillId="0" borderId="0" xfId="0" applyNumberFormat="1" applyFont="1" applyFill="1" applyBorder="1" applyAlignment="1">
      <alignment horizontal="left"/>
    </xf>
    <xf numFmtId="182" fontId="23" fillId="0" borderId="10" xfId="0" applyNumberFormat="1" applyFont="1" applyFill="1" applyBorder="1" applyAlignment="1" applyProtection="1">
      <alignment/>
      <protection/>
    </xf>
    <xf numFmtId="182" fontId="29" fillId="0" borderId="0" xfId="0" applyNumberFormat="1" applyFont="1" applyFill="1" applyBorder="1" applyAlignment="1">
      <alignment horizontal="center"/>
    </xf>
    <xf numFmtId="14" fontId="7" fillId="0" borderId="0" xfId="54" applyNumberFormat="1" applyFont="1" applyProtection="1">
      <alignment/>
      <protection/>
    </xf>
    <xf numFmtId="182" fontId="6" fillId="35" borderId="10" xfId="0" applyNumberFormat="1" applyFont="1" applyFill="1" applyBorder="1" applyAlignment="1" applyProtection="1">
      <alignment horizontal="right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16" fillId="0" borderId="0" xfId="54" applyFont="1" applyAlignment="1" applyProtection="1">
      <alignment horizontal="center" wrapText="1"/>
      <protection/>
    </xf>
    <xf numFmtId="9" fontId="4" fillId="0" borderId="13" xfId="59" applyFont="1" applyFill="1" applyBorder="1" applyAlignment="1" applyProtection="1">
      <alignment horizontal="center" wrapText="1"/>
      <protection/>
    </xf>
    <xf numFmtId="0" fontId="12" fillId="0" borderId="0" xfId="54" applyFont="1" applyAlignment="1" applyProtection="1">
      <alignment horizontal="center"/>
      <protection/>
    </xf>
    <xf numFmtId="191" fontId="6" fillId="0" borderId="0" xfId="54" applyNumberFormat="1" applyFont="1" applyAlignment="1" applyProtection="1">
      <alignment horizontal="center"/>
      <protection/>
    </xf>
    <xf numFmtId="191" fontId="6" fillId="0" borderId="0" xfId="54" applyNumberFormat="1" applyFont="1" applyAlignment="1" applyProtection="1">
      <alignment horizontal="right"/>
      <protection/>
    </xf>
    <xf numFmtId="191" fontId="7" fillId="0" borderId="0" xfId="54" applyNumberFormat="1" applyFont="1" applyProtection="1">
      <alignment/>
      <protection/>
    </xf>
    <xf numFmtId="0" fontId="6" fillId="0" borderId="0" xfId="54" applyFont="1" applyAlignment="1" applyProtection="1">
      <alignment horizontal="center"/>
      <protection/>
    </xf>
    <xf numFmtId="9" fontId="4" fillId="0" borderId="10" xfId="59" applyFont="1" applyFill="1" applyBorder="1" applyAlignment="1" applyProtection="1">
      <alignment horizontal="center" wrapText="1"/>
      <protection/>
    </xf>
    <xf numFmtId="0" fontId="6" fillId="0" borderId="10" xfId="54" applyFont="1" applyBorder="1" applyAlignment="1" applyProtection="1">
      <alignment horizontal="center"/>
      <protection/>
    </xf>
    <xf numFmtId="191" fontId="15" fillId="0" borderId="10" xfId="54" applyNumberFormat="1" applyFont="1" applyBorder="1" applyAlignment="1" applyProtection="1">
      <alignment horizontal="center" vertical="center" wrapText="1"/>
      <protection/>
    </xf>
    <xf numFmtId="191" fontId="7" fillId="0" borderId="10" xfId="0" applyNumberFormat="1" applyFont="1" applyBorder="1" applyAlignment="1" applyProtection="1">
      <alignment/>
      <protection/>
    </xf>
    <xf numFmtId="191" fontId="6" fillId="34" borderId="10" xfId="0" applyNumberFormat="1" applyFont="1" applyFill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7" fillId="0" borderId="10" xfId="0" applyNumberFormat="1" applyFont="1" applyFill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16" fillId="0" borderId="10" xfId="0" applyNumberFormat="1" applyFont="1" applyFill="1" applyBorder="1" applyAlignment="1" applyProtection="1">
      <alignment/>
      <protection/>
    </xf>
    <xf numFmtId="182" fontId="16" fillId="0" borderId="10" xfId="0" applyNumberFormat="1" applyFont="1" applyBorder="1" applyAlignment="1" applyProtection="1">
      <alignment/>
      <protection/>
    </xf>
    <xf numFmtId="191" fontId="16" fillId="0" borderId="10" xfId="0" applyNumberFormat="1" applyFont="1" applyBorder="1" applyAlignment="1" applyProtection="1">
      <alignment/>
      <protection/>
    </xf>
    <xf numFmtId="0" fontId="34" fillId="0" borderId="10" xfId="54" applyFont="1" applyBorder="1" applyAlignment="1" applyProtection="1">
      <alignment vertical="center"/>
      <protection/>
    </xf>
    <xf numFmtId="182" fontId="19" fillId="0" borderId="10" xfId="0" applyNumberFormat="1" applyFont="1" applyFill="1" applyBorder="1" applyAlignment="1" applyProtection="1">
      <alignment horizontal="right"/>
      <protection/>
    </xf>
    <xf numFmtId="182" fontId="19" fillId="0" borderId="10" xfId="0" applyNumberFormat="1" applyFont="1" applyBorder="1" applyAlignment="1" applyProtection="1">
      <alignment/>
      <protection/>
    </xf>
    <xf numFmtId="182" fontId="19" fillId="0" borderId="10" xfId="0" applyNumberFormat="1" applyFont="1" applyFill="1" applyBorder="1" applyAlignment="1" applyProtection="1">
      <alignment horizontal="right"/>
      <protection locked="0"/>
    </xf>
    <xf numFmtId="182" fontId="19" fillId="0" borderId="10" xfId="0" applyNumberFormat="1" applyFont="1" applyFill="1" applyBorder="1" applyAlignment="1" applyProtection="1">
      <alignment/>
      <protection/>
    </xf>
    <xf numFmtId="182" fontId="17" fillId="0" borderId="10" xfId="0" applyNumberFormat="1" applyFont="1" applyBorder="1" applyAlignment="1" applyProtection="1">
      <alignment/>
      <protection/>
    </xf>
    <xf numFmtId="191" fontId="17" fillId="0" borderId="10" xfId="0" applyNumberFormat="1" applyFont="1" applyBorder="1" applyAlignment="1" applyProtection="1">
      <alignment/>
      <protection/>
    </xf>
    <xf numFmtId="191" fontId="19" fillId="0" borderId="10" xfId="0" applyNumberFormat="1" applyFont="1" applyBorder="1" applyAlignment="1" applyProtection="1">
      <alignment/>
      <protection/>
    </xf>
    <xf numFmtId="1" fontId="8" fillId="0" borderId="10" xfId="54" applyNumberFormat="1" applyFont="1" applyBorder="1" applyAlignment="1" applyProtection="1">
      <alignment horizontal="center" vertical="center" wrapText="1"/>
      <protection/>
    </xf>
    <xf numFmtId="182" fontId="7" fillId="35" borderId="10" xfId="0" applyNumberFormat="1" applyFont="1" applyFill="1" applyBorder="1" applyAlignment="1" applyProtection="1">
      <alignment horizontal="right"/>
      <protection locked="0"/>
    </xf>
    <xf numFmtId="182" fontId="19" fillId="35" borderId="10" xfId="0" applyNumberFormat="1" applyFont="1" applyFill="1" applyBorder="1" applyAlignment="1" applyProtection="1">
      <alignment horizontal="right"/>
      <protection locked="0"/>
    </xf>
    <xf numFmtId="182" fontId="6" fillId="35" borderId="10" xfId="54" applyNumberFormat="1" applyFont="1" applyFill="1" applyBorder="1" applyProtection="1">
      <alignment/>
      <protection/>
    </xf>
    <xf numFmtId="182" fontId="7" fillId="35" borderId="10" xfId="54" applyNumberFormat="1" applyFont="1" applyFill="1" applyBorder="1" applyProtection="1">
      <alignment/>
      <protection/>
    </xf>
    <xf numFmtId="182" fontId="23" fillId="35" borderId="10" xfId="0" applyNumberFormat="1" applyFont="1" applyFill="1" applyBorder="1" applyAlignment="1" applyProtection="1">
      <alignment horizontal="right"/>
      <protection/>
    </xf>
    <xf numFmtId="182" fontId="3" fillId="0" borderId="0" xfId="54" applyNumberFormat="1" applyFont="1" applyFill="1" applyAlignment="1" applyProtection="1">
      <alignment horizontal="center"/>
      <protection/>
    </xf>
    <xf numFmtId="182" fontId="8" fillId="35" borderId="10" xfId="54" applyNumberFormat="1" applyFont="1" applyFill="1" applyBorder="1" applyAlignment="1" applyProtection="1">
      <alignment horizontal="center" vertical="center" wrapText="1"/>
      <protection/>
    </xf>
    <xf numFmtId="182" fontId="7" fillId="0" borderId="0" xfId="54" applyNumberFormat="1" applyFont="1" applyFill="1" applyProtection="1">
      <alignment/>
      <protection/>
    </xf>
    <xf numFmtId="182" fontId="7" fillId="35" borderId="10" xfId="0" applyNumberFormat="1" applyFont="1" applyFill="1" applyBorder="1" applyAlignment="1" applyProtection="1">
      <alignment horizontal="right"/>
      <protection locked="0"/>
    </xf>
    <xf numFmtId="182" fontId="7" fillId="35" borderId="10" xfId="0" applyNumberFormat="1" applyFont="1" applyFill="1" applyBorder="1" applyAlignment="1" applyProtection="1">
      <alignment horizontal="right"/>
      <protection/>
    </xf>
    <xf numFmtId="0" fontId="9" fillId="0" borderId="10" xfId="54" applyFont="1" applyBorder="1" applyAlignment="1" applyProtection="1">
      <alignment vertical="center"/>
      <protection/>
    </xf>
    <xf numFmtId="191" fontId="6" fillId="34" borderId="14" xfId="0" applyNumberFormat="1" applyFont="1" applyFill="1" applyBorder="1" applyAlignment="1" applyProtection="1">
      <alignment/>
      <protection/>
    </xf>
    <xf numFmtId="191" fontId="6" fillId="0" borderId="14" xfId="0" applyNumberFormat="1" applyFont="1" applyFill="1" applyBorder="1" applyAlignment="1" applyProtection="1">
      <alignment/>
      <protection/>
    </xf>
    <xf numFmtId="0" fontId="6" fillId="0" borderId="10" xfId="54" applyFont="1" applyBorder="1" applyAlignment="1" applyProtection="1">
      <alignment horizontal="left" vertical="center" wrapText="1"/>
      <protection/>
    </xf>
    <xf numFmtId="4" fontId="7" fillId="0" borderId="0" xfId="54" applyNumberFormat="1" applyFont="1" applyBorder="1" applyAlignment="1" applyProtection="1">
      <alignment horizontal="right"/>
      <protection/>
    </xf>
    <xf numFmtId="182" fontId="7" fillId="0" borderId="10" xfId="0" applyNumberFormat="1" applyFont="1" applyBorder="1" applyAlignment="1" applyProtection="1">
      <alignment/>
      <protection/>
    </xf>
    <xf numFmtId="182" fontId="7" fillId="36" borderId="10" xfId="0" applyNumberFormat="1" applyFont="1" applyFill="1" applyBorder="1" applyAlignment="1" applyProtection="1">
      <alignment/>
      <protection/>
    </xf>
    <xf numFmtId="182" fontId="19" fillId="36" borderId="10" xfId="0" applyNumberFormat="1" applyFont="1" applyFill="1" applyBorder="1" applyAlignment="1" applyProtection="1">
      <alignment/>
      <protection/>
    </xf>
    <xf numFmtId="0" fontId="4" fillId="0" borderId="10" xfId="54" applyFont="1" applyBorder="1" applyAlignment="1" applyProtection="1">
      <alignment vertical="center"/>
      <protection/>
    </xf>
    <xf numFmtId="0" fontId="19" fillId="0" borderId="10" xfId="54" applyFont="1" applyBorder="1" applyAlignment="1" applyProtection="1">
      <alignment vertical="center" wrapText="1"/>
      <protection/>
    </xf>
    <xf numFmtId="0" fontId="6" fillId="0" borderId="10" xfId="54" applyFont="1" applyBorder="1" applyAlignment="1" applyProtection="1">
      <alignment vertical="center" wrapText="1"/>
      <protection/>
    </xf>
    <xf numFmtId="0" fontId="36" fillId="0" borderId="10" xfId="54" applyFont="1" applyBorder="1" applyAlignment="1" applyProtection="1">
      <alignment vertical="center"/>
      <protection/>
    </xf>
    <xf numFmtId="182" fontId="7" fillId="0" borderId="0" xfId="54" applyNumberFormat="1" applyFont="1" applyBorder="1" applyAlignment="1" applyProtection="1">
      <alignment horizontal="right"/>
      <protection/>
    </xf>
    <xf numFmtId="182" fontId="7" fillId="0" borderId="0" xfId="54" applyNumberFormat="1" applyFont="1" applyFill="1" applyBorder="1" applyAlignment="1" applyProtection="1">
      <alignment horizontal="center"/>
      <protection/>
    </xf>
    <xf numFmtId="4" fontId="7" fillId="0" borderId="0" xfId="54" applyNumberFormat="1" applyFont="1" applyFill="1" applyBorder="1" applyAlignment="1" applyProtection="1">
      <alignment horizontal="right"/>
      <protection/>
    </xf>
    <xf numFmtId="182" fontId="37" fillId="0" borderId="10" xfId="0" applyNumberFormat="1" applyFont="1" applyBorder="1" applyAlignment="1" applyProtection="1">
      <alignment/>
      <protection/>
    </xf>
    <xf numFmtId="0" fontId="4" fillId="0" borderId="10" xfId="54" applyFont="1" applyBorder="1" applyAlignment="1" applyProtection="1">
      <alignment horizontal="center" vertical="center"/>
      <protection/>
    </xf>
    <xf numFmtId="0" fontId="7" fillId="0" borderId="14" xfId="54" applyFont="1" applyFill="1" applyBorder="1" applyAlignment="1" applyProtection="1">
      <alignment horizontal="left" vertical="center" wrapText="1"/>
      <protection/>
    </xf>
    <xf numFmtId="0" fontId="7" fillId="0" borderId="10" xfId="54" applyFont="1" applyFill="1" applyBorder="1" applyAlignment="1" applyProtection="1">
      <alignment vertical="center" wrapText="1"/>
      <protection/>
    </xf>
    <xf numFmtId="0" fontId="7" fillId="0" borderId="10" xfId="54" applyFont="1" applyFill="1" applyBorder="1" applyAlignment="1" applyProtection="1">
      <alignment vertical="center" wrapText="1"/>
      <protection/>
    </xf>
    <xf numFmtId="4" fontId="10" fillId="0" borderId="0" xfId="0" applyNumberFormat="1" applyFont="1" applyAlignment="1" applyProtection="1">
      <alignment/>
      <protection/>
    </xf>
    <xf numFmtId="4" fontId="6" fillId="0" borderId="0" xfId="54" applyNumberFormat="1" applyFont="1" applyFill="1" applyBorder="1" applyProtection="1">
      <alignment/>
      <protection/>
    </xf>
    <xf numFmtId="0" fontId="7" fillId="0" borderId="10" xfId="54" applyFont="1" applyFill="1" applyBorder="1" applyAlignment="1" applyProtection="1">
      <alignment horizontal="left" wrapText="1"/>
      <protection/>
    </xf>
    <xf numFmtId="0" fontId="4" fillId="0" borderId="10" xfId="54" applyFont="1" applyFill="1" applyBorder="1" applyAlignment="1" applyProtection="1">
      <alignment/>
      <protection/>
    </xf>
    <xf numFmtId="191" fontId="7" fillId="0" borderId="14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6" fillId="37" borderId="10" xfId="54" applyNumberFormat="1" applyFont="1" applyFill="1" applyBorder="1" applyProtection="1">
      <alignment/>
      <protection/>
    </xf>
    <xf numFmtId="4" fontId="3" fillId="0" borderId="0" xfId="54" applyNumberFormat="1" applyFont="1" applyFill="1" applyAlignment="1" applyProtection="1">
      <alignment horizontal="center"/>
      <protection/>
    </xf>
    <xf numFmtId="4" fontId="8" fillId="35" borderId="10" xfId="54" applyNumberFormat="1" applyFont="1" applyFill="1" applyBorder="1" applyAlignment="1" applyProtection="1">
      <alignment horizontal="center" vertical="center" wrapText="1"/>
      <protection/>
    </xf>
    <xf numFmtId="4" fontId="6" fillId="34" borderId="10" xfId="0" applyNumberFormat="1" applyFont="1" applyFill="1" applyBorder="1" applyAlignment="1" applyProtection="1">
      <alignment horizontal="right"/>
      <protection/>
    </xf>
    <xf numFmtId="4" fontId="7" fillId="35" borderId="10" xfId="0" applyNumberFormat="1" applyFont="1" applyFill="1" applyBorder="1" applyAlignment="1" applyProtection="1">
      <alignment horizontal="right"/>
      <protection locked="0"/>
    </xf>
    <xf numFmtId="4" fontId="19" fillId="35" borderId="10" xfId="0" applyNumberFormat="1" applyFont="1" applyFill="1" applyBorder="1" applyAlignment="1" applyProtection="1">
      <alignment horizontal="right"/>
      <protection locked="0"/>
    </xf>
    <xf numFmtId="4" fontId="7" fillId="35" borderId="10" xfId="0" applyNumberFormat="1" applyFont="1" applyFill="1" applyBorder="1" applyAlignment="1" applyProtection="1">
      <alignment horizontal="right"/>
      <protection locked="0"/>
    </xf>
    <xf numFmtId="4" fontId="7" fillId="35" borderId="10" xfId="0" applyNumberFormat="1" applyFont="1" applyFill="1" applyBorder="1" applyAlignment="1" applyProtection="1">
      <alignment horizontal="right"/>
      <protection/>
    </xf>
    <xf numFmtId="4" fontId="6" fillId="35" borderId="10" xfId="0" applyNumberFormat="1" applyFont="1" applyFill="1" applyBorder="1" applyAlignment="1" applyProtection="1">
      <alignment horizontal="right"/>
      <protection/>
    </xf>
    <xf numFmtId="4" fontId="23" fillId="35" borderId="10" xfId="0" applyNumberFormat="1" applyFont="1" applyFill="1" applyBorder="1" applyAlignment="1" applyProtection="1">
      <alignment horizontal="right"/>
      <protection/>
    </xf>
    <xf numFmtId="4" fontId="7" fillId="35" borderId="10" xfId="54" applyNumberFormat="1" applyFont="1" applyFill="1" applyBorder="1" applyProtection="1">
      <alignment/>
      <protection/>
    </xf>
    <xf numFmtId="4" fontId="6" fillId="35" borderId="10" xfId="54" applyNumberFormat="1" applyFont="1" applyFill="1" applyBorder="1" applyProtection="1">
      <alignment/>
      <protection/>
    </xf>
    <xf numFmtId="4" fontId="6" fillId="34" borderId="10" xfId="54" applyNumberFormat="1" applyFont="1" applyFill="1" applyBorder="1" applyProtection="1">
      <alignment/>
      <protection/>
    </xf>
    <xf numFmtId="4" fontId="7" fillId="0" borderId="0" xfId="54" applyNumberFormat="1" applyFont="1" applyFill="1" applyProtection="1">
      <alignment/>
      <protection/>
    </xf>
    <xf numFmtId="4" fontId="7" fillId="0" borderId="0" xfId="54" applyNumberFormat="1" applyFont="1" applyFill="1" applyBorder="1" applyProtection="1">
      <alignment/>
      <protection/>
    </xf>
    <xf numFmtId="4" fontId="7" fillId="0" borderId="0" xfId="54" applyNumberFormat="1" applyFont="1" applyFill="1" applyBorder="1" applyAlignment="1" applyProtection="1">
      <alignment horizontal="center"/>
      <protection/>
    </xf>
    <xf numFmtId="182" fontId="8" fillId="38" borderId="10" xfId="54" applyNumberFormat="1" applyFont="1" applyFill="1" applyBorder="1" applyAlignment="1" applyProtection="1">
      <alignment horizontal="center" vertical="center" wrapText="1"/>
      <protection/>
    </xf>
    <xf numFmtId="182" fontId="7" fillId="38" borderId="10" xfId="0" applyNumberFormat="1" applyFont="1" applyFill="1" applyBorder="1" applyAlignment="1" applyProtection="1">
      <alignment horizontal="right"/>
      <protection locked="0"/>
    </xf>
    <xf numFmtId="182" fontId="19" fillId="38" borderId="10" xfId="0" applyNumberFormat="1" applyFont="1" applyFill="1" applyBorder="1" applyAlignment="1" applyProtection="1">
      <alignment horizontal="right"/>
      <protection locked="0"/>
    </xf>
    <xf numFmtId="182" fontId="7" fillId="38" borderId="10" xfId="0" applyNumberFormat="1" applyFont="1" applyFill="1" applyBorder="1" applyAlignment="1" applyProtection="1">
      <alignment horizontal="right"/>
      <protection locked="0"/>
    </xf>
    <xf numFmtId="182" fontId="7" fillId="38" borderId="10" xfId="0" applyNumberFormat="1" applyFont="1" applyFill="1" applyBorder="1" applyAlignment="1" applyProtection="1">
      <alignment horizontal="right"/>
      <protection/>
    </xf>
    <xf numFmtId="182" fontId="78" fillId="0" borderId="10" xfId="0" applyNumberFormat="1" applyFont="1" applyBorder="1" applyAlignment="1" applyProtection="1">
      <alignment/>
      <protection/>
    </xf>
    <xf numFmtId="182" fontId="7" fillId="38" borderId="10" xfId="54" applyNumberFormat="1" applyFont="1" applyFill="1" applyBorder="1" applyProtection="1">
      <alignment/>
      <protection/>
    </xf>
    <xf numFmtId="182" fontId="6" fillId="38" borderId="10" xfId="54" applyNumberFormat="1" applyFont="1" applyFill="1" applyBorder="1" applyProtection="1">
      <alignment/>
      <protection/>
    </xf>
    <xf numFmtId="49" fontId="8" fillId="13" borderId="10" xfId="54" applyNumberFormat="1" applyFont="1" applyFill="1" applyBorder="1" applyAlignment="1" applyProtection="1">
      <alignment horizontal="center" vertical="center" wrapText="1"/>
      <protection/>
    </xf>
    <xf numFmtId="182" fontId="7" fillId="13" borderId="10" xfId="0" applyNumberFormat="1" applyFont="1" applyFill="1" applyBorder="1" applyAlignment="1" applyProtection="1">
      <alignment horizontal="right"/>
      <protection locked="0"/>
    </xf>
    <xf numFmtId="182" fontId="19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/>
    </xf>
    <xf numFmtId="182" fontId="6" fillId="13" borderId="10" xfId="54" applyNumberFormat="1" applyFont="1" applyFill="1" applyBorder="1" applyProtection="1">
      <alignment/>
      <protection/>
    </xf>
    <xf numFmtId="182" fontId="6" fillId="13" borderId="10" xfId="0" applyNumberFormat="1" applyFont="1" applyFill="1" applyBorder="1" applyAlignment="1" applyProtection="1">
      <alignment horizontal="right"/>
      <protection/>
    </xf>
    <xf numFmtId="4" fontId="7" fillId="38" borderId="10" xfId="0" applyNumberFormat="1" applyFont="1" applyFill="1" applyBorder="1" applyAlignment="1" applyProtection="1">
      <alignment horizontal="right"/>
      <protection/>
    </xf>
    <xf numFmtId="182" fontId="79" fillId="0" borderId="10" xfId="0" applyNumberFormat="1" applyFont="1" applyFill="1" applyBorder="1" applyAlignment="1" applyProtection="1">
      <alignment/>
      <protection/>
    </xf>
    <xf numFmtId="182" fontId="10" fillId="0" borderId="0" xfId="0" applyNumberFormat="1" applyFont="1" applyAlignment="1" applyProtection="1">
      <alignment/>
      <protection/>
    </xf>
    <xf numFmtId="0" fontId="7" fillId="19" borderId="10" xfId="54" applyFont="1" applyFill="1" applyBorder="1" applyAlignment="1" applyProtection="1">
      <alignment vertical="center" wrapText="1"/>
      <protection/>
    </xf>
    <xf numFmtId="0" fontId="7" fillId="19" borderId="10" xfId="0" applyFont="1" applyFill="1" applyBorder="1" applyAlignment="1">
      <alignment wrapText="1"/>
    </xf>
    <xf numFmtId="182" fontId="79" fillId="0" borderId="10" xfId="0" applyNumberFormat="1" applyFont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 locked="0"/>
    </xf>
    <xf numFmtId="182" fontId="3" fillId="34" borderId="10" xfId="0" applyNumberFormat="1" applyFont="1" applyFill="1" applyBorder="1" applyAlignment="1" applyProtection="1">
      <alignment/>
      <protection/>
    </xf>
    <xf numFmtId="0" fontId="6" fillId="34" borderId="10" xfId="54" applyFont="1" applyFill="1" applyBorder="1" applyAlignment="1" applyProtection="1">
      <alignment horizontal="center" vertical="center" wrapText="1"/>
      <protection/>
    </xf>
    <xf numFmtId="182" fontId="2" fillId="34" borderId="10" xfId="0" applyNumberFormat="1" applyFont="1" applyFill="1" applyBorder="1" applyAlignment="1" applyProtection="1">
      <alignment/>
      <protection/>
    </xf>
    <xf numFmtId="182" fontId="2" fillId="38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Border="1" applyAlignment="1" applyProtection="1">
      <alignment/>
      <protection/>
    </xf>
    <xf numFmtId="182" fontId="21" fillId="0" borderId="10" xfId="0" applyNumberFormat="1" applyFont="1" applyBorder="1" applyAlignment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 horizontal="right"/>
      <protection/>
    </xf>
    <xf numFmtId="182" fontId="2" fillId="38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Border="1" applyAlignment="1" applyProtection="1">
      <alignment/>
      <protection/>
    </xf>
    <xf numFmtId="182" fontId="39" fillId="0" borderId="10" xfId="0" applyNumberFormat="1" applyFont="1" applyFill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 locked="0"/>
    </xf>
    <xf numFmtId="182" fontId="80" fillId="0" borderId="10" xfId="0" applyNumberFormat="1" applyFont="1" applyFill="1" applyBorder="1" applyAlignment="1" applyProtection="1">
      <alignment/>
      <protection/>
    </xf>
    <xf numFmtId="4" fontId="2" fillId="38" borderId="10" xfId="0" applyNumberFormat="1" applyFont="1" applyFill="1" applyBorder="1" applyAlignment="1" applyProtection="1">
      <alignment horizontal="right"/>
      <protection/>
    </xf>
    <xf numFmtId="182" fontId="2" fillId="38" borderId="10" xfId="0" applyNumberFormat="1" applyFont="1" applyFill="1" applyBorder="1" applyAlignment="1" applyProtection="1">
      <alignment horizontal="right"/>
      <protection/>
    </xf>
    <xf numFmtId="182" fontId="39" fillId="0" borderId="10" xfId="0" applyNumberFormat="1" applyFont="1" applyFill="1" applyBorder="1" applyAlignment="1" applyProtection="1">
      <alignment horizontal="right"/>
      <protection/>
    </xf>
    <xf numFmtId="182" fontId="39" fillId="38" borderId="10" xfId="0" applyNumberFormat="1" applyFont="1" applyFill="1" applyBorder="1" applyAlignment="1" applyProtection="1">
      <alignment horizontal="right"/>
      <protection locked="0"/>
    </xf>
    <xf numFmtId="182" fontId="39" fillId="0" borderId="10" xfId="0" applyNumberFormat="1" applyFont="1" applyFill="1" applyBorder="1" applyAlignment="1" applyProtection="1">
      <alignment horizontal="right"/>
      <protection locked="0"/>
    </xf>
    <xf numFmtId="182" fontId="39" fillId="0" borderId="10" xfId="0" applyNumberFormat="1" applyFont="1" applyBorder="1" applyAlignment="1" applyProtection="1">
      <alignment/>
      <protection/>
    </xf>
    <xf numFmtId="182" fontId="81" fillId="0" borderId="10" xfId="0" applyNumberFormat="1" applyFont="1" applyBorder="1" applyAlignment="1" applyProtection="1">
      <alignment/>
      <protection/>
    </xf>
    <xf numFmtId="182" fontId="39" fillId="13" borderId="10" xfId="0" applyNumberFormat="1" applyFont="1" applyFill="1" applyBorder="1" applyAlignment="1" applyProtection="1">
      <alignment horizontal="right"/>
      <protection locked="0"/>
    </xf>
    <xf numFmtId="182" fontId="39" fillId="0" borderId="10" xfId="0" applyNumberFormat="1" applyFont="1" applyFill="1" applyBorder="1" applyAlignment="1" applyProtection="1">
      <alignment/>
      <protection/>
    </xf>
    <xf numFmtId="182" fontId="21" fillId="0" borderId="10" xfId="0" applyNumberFormat="1" applyFont="1" applyBorder="1" applyAlignment="1" applyProtection="1">
      <alignment/>
      <protection/>
    </xf>
    <xf numFmtId="182" fontId="39" fillId="13" borderId="10" xfId="0" applyNumberFormat="1" applyFont="1" applyFill="1" applyBorder="1" applyAlignment="1" applyProtection="1">
      <alignment horizontal="right"/>
      <protection locked="0"/>
    </xf>
    <xf numFmtId="182" fontId="2" fillId="0" borderId="10" xfId="54" applyNumberFormat="1" applyFont="1" applyFill="1" applyBorder="1" applyProtection="1">
      <alignment/>
      <protection/>
    </xf>
    <xf numFmtId="182" fontId="2" fillId="38" borderId="10" xfId="54" applyNumberFormat="1" applyFont="1" applyFill="1" applyBorder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/>
    </xf>
    <xf numFmtId="182" fontId="3" fillId="0" borderId="10" xfId="54" applyNumberFormat="1" applyFont="1" applyFill="1" applyBorder="1" applyProtection="1">
      <alignment/>
      <protection/>
    </xf>
    <xf numFmtId="182" fontId="3" fillId="38" borderId="10" xfId="54" applyNumberFormat="1" applyFont="1" applyFill="1" applyBorder="1" applyProtection="1">
      <alignment/>
      <protection/>
    </xf>
    <xf numFmtId="182" fontId="3" fillId="0" borderId="10" xfId="0" applyNumberFormat="1" applyFont="1" applyFill="1" applyBorder="1" applyAlignment="1" applyProtection="1">
      <alignment horizontal="right"/>
      <protection/>
    </xf>
    <xf numFmtId="182" fontId="3" fillId="0" borderId="10" xfId="0" applyNumberFormat="1" applyFont="1" applyFill="1" applyBorder="1" applyAlignment="1" applyProtection="1">
      <alignment horizontal="right"/>
      <protection locked="0"/>
    </xf>
    <xf numFmtId="182" fontId="3" fillId="0" borderId="10" xfId="0" applyNumberFormat="1" applyFont="1" applyFill="1" applyBorder="1" applyAlignment="1" applyProtection="1">
      <alignment/>
      <protection/>
    </xf>
    <xf numFmtId="182" fontId="3" fillId="13" borderId="10" xfId="54" applyNumberFormat="1" applyFont="1" applyFill="1" applyBorder="1" applyProtection="1">
      <alignment/>
      <protection/>
    </xf>
    <xf numFmtId="182" fontId="3" fillId="13" borderId="10" xfId="0" applyNumberFormat="1" applyFont="1" applyFill="1" applyBorder="1" applyAlignment="1" applyProtection="1">
      <alignment horizontal="right"/>
      <protection/>
    </xf>
    <xf numFmtId="182" fontId="21" fillId="0" borderId="10" xfId="0" applyNumberFormat="1" applyFont="1" applyFill="1" applyBorder="1" applyAlignment="1" applyProtection="1">
      <alignment/>
      <protection/>
    </xf>
    <xf numFmtId="182" fontId="3" fillId="34" borderId="10" xfId="54" applyNumberFormat="1" applyFont="1" applyFill="1" applyBorder="1" applyProtection="1">
      <alignment/>
      <protection/>
    </xf>
    <xf numFmtId="182" fontId="3" fillId="34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 locked="0"/>
    </xf>
    <xf numFmtId="182" fontId="3" fillId="34" borderId="10" xfId="0" applyNumberFormat="1" applyFont="1" applyFill="1" applyBorder="1" applyAlignment="1" applyProtection="1">
      <alignment/>
      <protection/>
    </xf>
    <xf numFmtId="182" fontId="39" fillId="0" borderId="10" xfId="0" applyNumberFormat="1" applyFont="1" applyFill="1" applyBorder="1" applyAlignment="1" applyProtection="1">
      <alignment horizontal="right"/>
      <protection locked="0"/>
    </xf>
    <xf numFmtId="0" fontId="7" fillId="37" borderId="10" xfId="54" applyFont="1" applyFill="1" applyBorder="1" applyAlignment="1" applyProtection="1">
      <alignment horizontal="right" vertical="center" wrapText="1"/>
      <protection/>
    </xf>
    <xf numFmtId="0" fontId="36" fillId="37" borderId="10" xfId="54" applyFont="1" applyFill="1" applyBorder="1" applyAlignment="1" applyProtection="1">
      <alignment vertical="center"/>
      <protection/>
    </xf>
    <xf numFmtId="182" fontId="39" fillId="37" borderId="10" xfId="0" applyNumberFormat="1" applyFont="1" applyFill="1" applyBorder="1" applyAlignment="1" applyProtection="1">
      <alignment horizontal="right"/>
      <protection locked="0"/>
    </xf>
    <xf numFmtId="182" fontId="39" fillId="37" borderId="10" xfId="0" applyNumberFormat="1" applyFont="1" applyFill="1" applyBorder="1" applyAlignment="1" applyProtection="1">
      <alignment/>
      <protection/>
    </xf>
    <xf numFmtId="182" fontId="2" fillId="37" borderId="10" xfId="0" applyNumberFormat="1" applyFont="1" applyFill="1" applyBorder="1" applyAlignment="1" applyProtection="1">
      <alignment horizontal="right"/>
      <protection/>
    </xf>
    <xf numFmtId="182" fontId="2" fillId="37" borderId="10" xfId="0" applyNumberFormat="1" applyFont="1" applyFill="1" applyBorder="1" applyAlignment="1" applyProtection="1">
      <alignment horizontal="right"/>
      <protection locked="0"/>
    </xf>
    <xf numFmtId="182" fontId="2" fillId="37" borderId="10" xfId="0" applyNumberFormat="1" applyFont="1" applyFill="1" applyBorder="1" applyAlignment="1" applyProtection="1">
      <alignment/>
      <protection/>
    </xf>
    <xf numFmtId="182" fontId="40" fillId="37" borderId="10" xfId="0" applyNumberFormat="1" applyFont="1" applyFill="1" applyBorder="1" applyAlignment="1" applyProtection="1">
      <alignment/>
      <protection/>
    </xf>
    <xf numFmtId="182" fontId="39" fillId="38" borderId="10" xfId="0" applyNumberFormat="1" applyFont="1" applyFill="1" applyBorder="1" applyAlignment="1" applyProtection="1">
      <alignment horizontal="right"/>
      <protection locked="0"/>
    </xf>
    <xf numFmtId="182" fontId="7" fillId="39" borderId="0" xfId="54" applyNumberFormat="1" applyFont="1" applyFill="1" applyProtection="1">
      <alignment/>
      <protection/>
    </xf>
    <xf numFmtId="182" fontId="7" fillId="39" borderId="0" xfId="54" applyNumberFormat="1" applyFont="1" applyFill="1" applyBorder="1" applyProtection="1">
      <alignment/>
      <protection/>
    </xf>
    <xf numFmtId="0" fontId="82" fillId="0" borderId="16" xfId="54" applyFont="1" applyFill="1" applyBorder="1" applyAlignment="1" applyProtection="1">
      <alignment/>
      <protection/>
    </xf>
    <xf numFmtId="0" fontId="82" fillId="0" borderId="0" xfId="54" applyFont="1" applyAlignment="1" applyProtection="1">
      <alignment horizontal="center"/>
      <protection/>
    </xf>
    <xf numFmtId="182" fontId="82" fillId="0" borderId="0" xfId="54" applyNumberFormat="1" applyFont="1" applyFill="1" applyAlignment="1" applyProtection="1">
      <alignment horizontal="center"/>
      <protection/>
    </xf>
    <xf numFmtId="0" fontId="83" fillId="0" borderId="0" xfId="54" applyFont="1" applyProtection="1">
      <alignment/>
      <protection/>
    </xf>
    <xf numFmtId="182" fontId="8" fillId="0" borderId="10" xfId="54" applyNumberFormat="1" applyFont="1" applyFill="1" applyBorder="1" applyAlignment="1" applyProtection="1">
      <alignment horizontal="center" vertical="center" wrapText="1"/>
      <protection/>
    </xf>
    <xf numFmtId="182" fontId="3" fillId="0" borderId="10" xfId="0" applyNumberFormat="1" applyFont="1" applyFill="1" applyBorder="1" applyAlignment="1" applyProtection="1">
      <alignment horizontal="right"/>
      <protection/>
    </xf>
    <xf numFmtId="4" fontId="2" fillId="0" borderId="10" xfId="0" applyNumberFormat="1" applyFont="1" applyFill="1" applyBorder="1" applyAlignment="1" applyProtection="1">
      <alignment horizontal="right"/>
      <protection/>
    </xf>
    <xf numFmtId="9" fontId="4" fillId="0" borderId="0" xfId="59" applyFont="1" applyFill="1" applyBorder="1" applyAlignment="1" applyProtection="1">
      <alignment horizontal="center" wrapText="1"/>
      <protection/>
    </xf>
    <xf numFmtId="191" fontId="3" fillId="34" borderId="10" xfId="0" applyNumberFormat="1" applyFont="1" applyFill="1" applyBorder="1" applyAlignment="1" applyProtection="1">
      <alignment horizontal="right"/>
      <protection/>
    </xf>
    <xf numFmtId="191" fontId="21" fillId="0" borderId="10" xfId="0" applyNumberFormat="1" applyFont="1" applyBorder="1" applyAlignment="1" applyProtection="1">
      <alignment/>
      <protection/>
    </xf>
    <xf numFmtId="191" fontId="19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Border="1" applyAlignment="1" applyProtection="1">
      <alignment/>
      <protection/>
    </xf>
    <xf numFmtId="191" fontId="81" fillId="0" borderId="10" xfId="0" applyNumberFormat="1" applyFont="1" applyBorder="1" applyAlignment="1" applyProtection="1">
      <alignment/>
      <protection/>
    </xf>
    <xf numFmtId="191" fontId="39" fillId="0" borderId="10" xfId="0" applyNumberFormat="1" applyFont="1" applyBorder="1" applyAlignment="1" applyProtection="1">
      <alignment/>
      <protection/>
    </xf>
    <xf numFmtId="191" fontId="21" fillId="0" borderId="10" xfId="0" applyNumberFormat="1" applyFont="1" applyBorder="1" applyAlignment="1" applyProtection="1">
      <alignment/>
      <protection/>
    </xf>
    <xf numFmtId="191" fontId="80" fillId="0" borderId="10" xfId="0" applyNumberFormat="1" applyFont="1" applyFill="1" applyBorder="1" applyAlignment="1" applyProtection="1">
      <alignment/>
      <protection/>
    </xf>
    <xf numFmtId="191" fontId="3" fillId="0" borderId="10" xfId="0" applyNumberFormat="1" applyFont="1" applyFill="1" applyBorder="1" applyAlignment="1" applyProtection="1">
      <alignment/>
      <protection/>
    </xf>
    <xf numFmtId="182" fontId="39" fillId="37" borderId="10" xfId="0" applyNumberFormat="1" applyFont="1" applyFill="1" applyBorder="1" applyAlignment="1" applyProtection="1">
      <alignment/>
      <protection/>
    </xf>
    <xf numFmtId="191" fontId="39" fillId="0" borderId="10" xfId="0" applyNumberFormat="1" applyFont="1" applyFill="1" applyBorder="1" applyAlignment="1" applyProtection="1">
      <alignment/>
      <protection/>
    </xf>
    <xf numFmtId="191" fontId="39" fillId="37" borderId="10" xfId="0" applyNumberFormat="1" applyFont="1" applyFill="1" applyBorder="1" applyAlignment="1" applyProtection="1">
      <alignment/>
      <protection/>
    </xf>
    <xf numFmtId="191" fontId="37" fillId="0" borderId="10" xfId="0" applyNumberFormat="1" applyFont="1" applyBorder="1" applyAlignment="1" applyProtection="1">
      <alignment/>
      <protection/>
    </xf>
    <xf numFmtId="191" fontId="7" fillId="0" borderId="10" xfId="0" applyNumberFormat="1" applyFont="1" applyBorder="1" applyAlignment="1" applyProtection="1">
      <alignment/>
      <protection/>
    </xf>
    <xf numFmtId="191" fontId="2" fillId="0" borderId="10" xfId="0" applyNumberFormat="1" applyFont="1" applyBorder="1" applyAlignment="1" applyProtection="1">
      <alignment/>
      <protection/>
    </xf>
    <xf numFmtId="191" fontId="3" fillId="34" borderId="10" xfId="0" applyNumberFormat="1" applyFont="1" applyFill="1" applyBorder="1" applyAlignment="1" applyProtection="1">
      <alignment/>
      <protection/>
    </xf>
    <xf numFmtId="191" fontId="25" fillId="0" borderId="10" xfId="0" applyNumberFormat="1" applyFont="1" applyFill="1" applyBorder="1" applyAlignment="1" applyProtection="1">
      <alignment/>
      <protection/>
    </xf>
    <xf numFmtId="191" fontId="3" fillId="34" borderId="10" xfId="0" applyNumberFormat="1" applyFont="1" applyFill="1" applyBorder="1" applyAlignment="1" applyProtection="1">
      <alignment/>
      <protection/>
    </xf>
    <xf numFmtId="0" fontId="9" fillId="0" borderId="10" xfId="54" applyFont="1" applyFill="1" applyBorder="1" applyAlignment="1" applyProtection="1">
      <alignment vertical="center"/>
      <protection/>
    </xf>
    <xf numFmtId="182" fontId="2" fillId="37" borderId="10" xfId="0" applyNumberFormat="1" applyFont="1" applyFill="1" applyBorder="1" applyAlignment="1" applyProtection="1">
      <alignment horizontal="right"/>
      <protection/>
    </xf>
    <xf numFmtId="0" fontId="7" fillId="0" borderId="0" xfId="54" applyFont="1" applyAlignment="1" applyProtection="1">
      <alignment horizontal="center"/>
      <protection/>
    </xf>
    <xf numFmtId="0" fontId="20" fillId="0" borderId="0" xfId="54" applyFont="1" applyAlignment="1" applyProtection="1">
      <alignment horizontal="center"/>
      <protection/>
    </xf>
    <xf numFmtId="0" fontId="7" fillId="0" borderId="0" xfId="54" applyFont="1" applyBorder="1" applyAlignment="1" applyProtection="1">
      <alignment horizontal="right"/>
      <protection/>
    </xf>
    <xf numFmtId="0" fontId="7" fillId="0" borderId="0" xfId="54" applyFont="1" applyBorder="1" applyAlignment="1" applyProtection="1">
      <alignment horizontal="left" wrapText="1"/>
      <protection/>
    </xf>
    <xf numFmtId="0" fontId="7" fillId="0" borderId="0" xfId="54" applyFont="1" applyBorder="1" applyAlignment="1" applyProtection="1">
      <alignment horizontal="right" wrapText="1"/>
      <protection/>
    </xf>
    <xf numFmtId="0" fontId="7" fillId="0" borderId="0" xfId="54" applyFont="1" applyBorder="1" applyAlignment="1" applyProtection="1">
      <alignment horizontal="center"/>
      <protection/>
    </xf>
    <xf numFmtId="0" fontId="30" fillId="0" borderId="0" xfId="54" applyFont="1" applyAlignment="1" applyProtection="1">
      <alignment horizontal="center"/>
      <protection/>
    </xf>
    <xf numFmtId="0" fontId="30" fillId="0" borderId="0" xfId="54" applyFont="1" applyBorder="1" applyAlignment="1" applyProtection="1">
      <alignment horizontal="center"/>
      <protection/>
    </xf>
    <xf numFmtId="0" fontId="7" fillId="0" borderId="0" xfId="54" applyFont="1" applyAlignment="1" applyProtection="1">
      <alignment horizontal="right"/>
      <protection/>
    </xf>
    <xf numFmtId="0" fontId="9" fillId="0" borderId="0" xfId="54" applyFont="1" applyBorder="1" applyAlignment="1" applyProtection="1">
      <alignment horizontal="center" wrapText="1"/>
      <protection/>
    </xf>
    <xf numFmtId="0" fontId="4" fillId="0" borderId="13" xfId="54" applyFont="1" applyFill="1" applyBorder="1" applyAlignment="1" applyProtection="1">
      <alignment horizontal="center" vertical="center" wrapText="1"/>
      <protection/>
    </xf>
    <xf numFmtId="0" fontId="4" fillId="0" borderId="17" xfId="54" applyFont="1" applyFill="1" applyBorder="1" applyAlignment="1" applyProtection="1">
      <alignment horizontal="center" vertical="center" wrapText="1"/>
      <protection/>
    </xf>
    <xf numFmtId="0" fontId="4" fillId="0" borderId="10" xfId="54" applyFont="1" applyFill="1" applyBorder="1" applyAlignment="1" applyProtection="1">
      <alignment horizontal="center" vertical="center" wrapText="1"/>
      <protection/>
    </xf>
    <xf numFmtId="0" fontId="25" fillId="0" borderId="18" xfId="54" applyFont="1" applyFill="1" applyBorder="1" applyAlignment="1" applyProtection="1">
      <alignment horizontal="center" vertical="center" wrapText="1"/>
      <protection/>
    </xf>
    <xf numFmtId="0" fontId="25" fillId="0" borderId="16" xfId="54" applyFont="1" applyFill="1" applyBorder="1" applyAlignment="1" applyProtection="1">
      <alignment horizontal="center" vertical="center" wrapText="1"/>
      <protection/>
    </xf>
    <xf numFmtId="0" fontId="25" fillId="0" borderId="19" xfId="54" applyFont="1" applyFill="1" applyBorder="1" applyAlignment="1" applyProtection="1">
      <alignment horizontal="center" vertical="center" wrapText="1"/>
      <protection/>
    </xf>
    <xf numFmtId="0" fontId="16" fillId="0" borderId="0" xfId="54" applyFont="1" applyAlignment="1" applyProtection="1">
      <alignment horizontal="center" wrapText="1"/>
      <protection/>
    </xf>
    <xf numFmtId="182" fontId="6" fillId="38" borderId="13" xfId="0" applyNumberFormat="1" applyFont="1" applyFill="1" applyBorder="1" applyAlignment="1" applyProtection="1">
      <alignment horizontal="center" vertical="center" wrapText="1"/>
      <protection/>
    </xf>
    <xf numFmtId="182" fontId="6" fillId="38" borderId="17" xfId="0" applyNumberFormat="1" applyFont="1" applyFill="1" applyBorder="1" applyAlignment="1" applyProtection="1">
      <alignment horizontal="center" vertical="center" wrapText="1"/>
      <protection/>
    </xf>
    <xf numFmtId="9" fontId="4" fillId="0" borderId="13" xfId="59" applyFont="1" applyFill="1" applyBorder="1" applyAlignment="1" applyProtection="1">
      <alignment horizontal="center" vertical="center" wrapText="1"/>
      <protection/>
    </xf>
    <xf numFmtId="9" fontId="4" fillId="0" borderId="17" xfId="59" applyFont="1" applyFill="1" applyBorder="1" applyAlignment="1" applyProtection="1">
      <alignment horizontal="center" vertical="center" wrapText="1"/>
      <protection/>
    </xf>
    <xf numFmtId="0" fontId="25" fillId="13" borderId="20" xfId="54" applyFont="1" applyFill="1" applyBorder="1" applyAlignment="1" applyProtection="1">
      <alignment horizontal="center" vertical="center" wrapText="1"/>
      <protection/>
    </xf>
    <xf numFmtId="0" fontId="25" fillId="13" borderId="17" xfId="54" applyFont="1" applyFill="1" applyBorder="1" applyAlignment="1" applyProtection="1">
      <alignment horizontal="center" vertical="center" wrapText="1"/>
      <protection/>
    </xf>
    <xf numFmtId="0" fontId="12" fillId="0" borderId="0" xfId="54" applyFont="1" applyAlignment="1" applyProtection="1">
      <alignment horizontal="center"/>
      <protection/>
    </xf>
    <xf numFmtId="0" fontId="80" fillId="0" borderId="0" xfId="54" applyFont="1" applyFill="1" applyAlignment="1" applyProtection="1">
      <alignment horizontal="center"/>
      <protection/>
    </xf>
    <xf numFmtId="49" fontId="5" fillId="33" borderId="13" xfId="0" applyNumberFormat="1" applyFont="1" applyFill="1" applyBorder="1" applyAlignment="1" applyProtection="1">
      <alignment horizontal="center" vertical="center" textRotation="90" wrapText="1"/>
      <protection/>
    </xf>
    <xf numFmtId="49" fontId="5" fillId="33" borderId="17" xfId="0" applyNumberFormat="1" applyFont="1" applyFill="1" applyBorder="1" applyAlignment="1" applyProtection="1">
      <alignment horizontal="center" vertical="center" textRotation="90" wrapText="1"/>
      <protection/>
    </xf>
    <xf numFmtId="49" fontId="21" fillId="0" borderId="10" xfId="54" applyNumberFormat="1" applyFont="1" applyBorder="1" applyAlignment="1" applyProtection="1">
      <alignment horizontal="center" vertical="center" wrapText="1"/>
      <protection/>
    </xf>
    <xf numFmtId="49" fontId="4" fillId="33" borderId="10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10" xfId="54" applyNumberFormat="1" applyFont="1" applyFill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21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9" fontId="4" fillId="0" borderId="20" xfId="59" applyFont="1" applyFill="1" applyBorder="1" applyAlignment="1" applyProtection="1">
      <alignment horizontal="center" vertical="center" wrapText="1"/>
      <protection/>
    </xf>
    <xf numFmtId="0" fontId="4" fillId="0" borderId="10" xfId="54" applyFont="1" applyFill="1" applyBorder="1" applyAlignment="1" applyProtection="1">
      <alignment horizontal="center" wrapText="1"/>
      <protection/>
    </xf>
    <xf numFmtId="182" fontId="4" fillId="0" borderId="20" xfId="54" applyNumberFormat="1" applyFont="1" applyFill="1" applyBorder="1" applyAlignment="1" applyProtection="1">
      <alignment horizontal="center" vertical="center" wrapText="1"/>
      <protection/>
    </xf>
    <xf numFmtId="182" fontId="4" fillId="0" borderId="17" xfId="54" applyNumberFormat="1" applyFont="1" applyFill="1" applyBorder="1" applyAlignment="1" applyProtection="1">
      <alignment horizontal="center" vertical="center" wrapText="1"/>
      <protection/>
    </xf>
    <xf numFmtId="182" fontId="6" fillId="0" borderId="13" xfId="0" applyNumberFormat="1" applyFont="1" applyFill="1" applyBorder="1" applyAlignment="1" applyProtection="1">
      <alignment horizontal="center" vertical="center" wrapText="1"/>
      <protection/>
    </xf>
    <xf numFmtId="182" fontId="6" fillId="0" borderId="17" xfId="0" applyNumberFormat="1" applyFont="1" applyFill="1" applyBorder="1" applyAlignment="1" applyProtection="1">
      <alignment horizontal="center" vertical="center" wrapText="1"/>
      <protection/>
    </xf>
    <xf numFmtId="182" fontId="25" fillId="38" borderId="13" xfId="0" applyNumberFormat="1" applyFont="1" applyFill="1" applyBorder="1" applyAlignment="1" applyProtection="1">
      <alignment horizontal="center" vertical="center" wrapText="1"/>
      <protection/>
    </xf>
    <xf numFmtId="182" fontId="25" fillId="38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0" xfId="54" applyFont="1" applyAlignment="1" applyProtection="1">
      <alignment horizontal="center"/>
      <protection/>
    </xf>
    <xf numFmtId="9" fontId="4" fillId="0" borderId="20" xfId="59" applyFont="1" applyFill="1" applyBorder="1" applyAlignment="1" applyProtection="1">
      <alignment horizontal="center" vertical="center" wrapText="1"/>
      <protection/>
    </xf>
    <xf numFmtId="0" fontId="25" fillId="0" borderId="20" xfId="54" applyFont="1" applyFill="1" applyBorder="1" applyAlignment="1" applyProtection="1">
      <alignment horizontal="center" vertical="center" wrapText="1"/>
      <protection/>
    </xf>
    <xf numFmtId="0" fontId="25" fillId="0" borderId="17" xfId="54" applyFont="1" applyFill="1" applyBorder="1" applyAlignment="1" applyProtection="1">
      <alignment horizontal="center" vertical="center" wrapText="1"/>
      <protection/>
    </xf>
    <xf numFmtId="4" fontId="25" fillId="35" borderId="13" xfId="0" applyNumberFormat="1" applyFont="1" applyFill="1" applyBorder="1" applyAlignment="1" applyProtection="1">
      <alignment horizontal="center" vertical="center" wrapText="1"/>
      <protection/>
    </xf>
    <xf numFmtId="4" fontId="25" fillId="35" borderId="17" xfId="0" applyNumberFormat="1" applyFont="1" applyFill="1" applyBorder="1" applyAlignment="1" applyProtection="1">
      <alignment horizontal="center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ZV1PIV98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U103"/>
  <sheetViews>
    <sheetView tabSelected="1" zoomScale="82" zoomScaleNormal="82" zoomScalePageLayoutView="0" workbookViewId="0" topLeftCell="B1">
      <pane xSplit="2" ySplit="8" topLeftCell="D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D94" sqref="D94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3.1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2" width="12.25390625" style="4" hidden="1" customWidth="1"/>
    <col min="13" max="13" width="12.00390625" style="4" hidden="1" customWidth="1"/>
    <col min="14" max="14" width="12.00390625" style="4" customWidth="1"/>
    <col min="15" max="15" width="11.00390625" style="4" customWidth="1"/>
    <col min="16" max="16" width="12.625" style="4" customWidth="1"/>
    <col min="17" max="17" width="11.00390625" style="4" customWidth="1"/>
    <col min="18" max="18" width="11.00390625" style="4" hidden="1" customWidth="1"/>
    <col min="19" max="19" width="11.00390625" style="95" hidden="1" customWidth="1"/>
    <col min="20" max="20" width="9.125" style="4" customWidth="1"/>
    <col min="21" max="21" width="11.50390625" style="4" customWidth="1"/>
    <col min="22" max="16384" width="9.125" style="4" customWidth="1"/>
  </cols>
  <sheetData>
    <row r="1" spans="1:19" s="1" customFormat="1" ht="26.25" customHeight="1">
      <c r="A1" s="301" t="s">
        <v>188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301"/>
      <c r="O1" s="301"/>
      <c r="P1" s="301"/>
      <c r="Q1" s="301"/>
      <c r="R1" s="92"/>
      <c r="S1" s="93"/>
    </row>
    <row r="2" spans="2:19" s="1" customFormat="1" ht="15.75" customHeight="1">
      <c r="B2" s="302"/>
      <c r="C2" s="302"/>
      <c r="D2" s="302"/>
      <c r="E2" s="2"/>
      <c r="F2" s="122"/>
      <c r="G2" s="2"/>
      <c r="H2" s="2"/>
      <c r="N2" s="1" t="s">
        <v>176</v>
      </c>
      <c r="Q2" s="17" t="s">
        <v>24</v>
      </c>
      <c r="R2" s="17"/>
      <c r="S2" s="94"/>
    </row>
    <row r="3" spans="1:19" s="3" customFormat="1" ht="13.5" customHeight="1">
      <c r="A3" s="303"/>
      <c r="B3" s="305"/>
      <c r="C3" s="306" t="s">
        <v>0</v>
      </c>
      <c r="D3" s="307" t="s">
        <v>121</v>
      </c>
      <c r="E3" s="34"/>
      <c r="F3" s="308" t="s">
        <v>26</v>
      </c>
      <c r="G3" s="309"/>
      <c r="H3" s="309"/>
      <c r="I3" s="309"/>
      <c r="J3" s="310"/>
      <c r="K3" s="89"/>
      <c r="L3" s="89"/>
      <c r="M3" s="89"/>
      <c r="N3" s="311" t="s">
        <v>183</v>
      </c>
      <c r="O3" s="312" t="s">
        <v>184</v>
      </c>
      <c r="P3" s="312"/>
      <c r="Q3" s="312"/>
      <c r="R3" s="312"/>
      <c r="S3" s="312"/>
    </row>
    <row r="4" spans="1:19" ht="22.5" customHeight="1">
      <c r="A4" s="303"/>
      <c r="B4" s="305"/>
      <c r="C4" s="306"/>
      <c r="D4" s="307"/>
      <c r="E4" s="313" t="s">
        <v>179</v>
      </c>
      <c r="F4" s="295" t="s">
        <v>34</v>
      </c>
      <c r="G4" s="288" t="s">
        <v>180</v>
      </c>
      <c r="H4" s="297" t="s">
        <v>181</v>
      </c>
      <c r="I4" s="288" t="s">
        <v>122</v>
      </c>
      <c r="J4" s="297" t="s">
        <v>123</v>
      </c>
      <c r="K4" s="91" t="s">
        <v>186</v>
      </c>
      <c r="L4" s="255" t="s">
        <v>185</v>
      </c>
      <c r="M4" s="96" t="s">
        <v>64</v>
      </c>
      <c r="N4" s="297"/>
      <c r="O4" s="299" t="s">
        <v>189</v>
      </c>
      <c r="P4" s="288" t="s">
        <v>50</v>
      </c>
      <c r="Q4" s="290" t="s">
        <v>49</v>
      </c>
      <c r="R4" s="97" t="s">
        <v>65</v>
      </c>
      <c r="S4" s="98" t="s">
        <v>64</v>
      </c>
    </row>
    <row r="5" spans="1:19" ht="67.5" customHeight="1">
      <c r="A5" s="304"/>
      <c r="B5" s="305"/>
      <c r="C5" s="306"/>
      <c r="D5" s="307"/>
      <c r="E5" s="314"/>
      <c r="F5" s="296"/>
      <c r="G5" s="289"/>
      <c r="H5" s="298"/>
      <c r="I5" s="289"/>
      <c r="J5" s="298"/>
      <c r="K5" s="291" t="s">
        <v>182</v>
      </c>
      <c r="L5" s="292"/>
      <c r="M5" s="293"/>
      <c r="N5" s="298"/>
      <c r="O5" s="300"/>
      <c r="P5" s="289"/>
      <c r="Q5" s="290"/>
      <c r="R5" s="291" t="s">
        <v>120</v>
      </c>
      <c r="S5" s="293"/>
    </row>
    <row r="6" spans="1:19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/>
      <c r="M6" s="10" t="s">
        <v>68</v>
      </c>
      <c r="N6" s="10" t="s">
        <v>69</v>
      </c>
      <c r="O6" s="177" t="s">
        <v>70</v>
      </c>
      <c r="P6" s="10" t="s">
        <v>71</v>
      </c>
      <c r="Q6" s="10" t="s">
        <v>72</v>
      </c>
      <c r="R6" s="10" t="s">
        <v>73</v>
      </c>
      <c r="S6" s="116">
        <v>17</v>
      </c>
    </row>
    <row r="7" spans="1:19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0"/>
      <c r="O7" s="177"/>
      <c r="P7" s="10"/>
      <c r="Q7" s="10"/>
      <c r="R7" s="10"/>
      <c r="S7" s="99"/>
    </row>
    <row r="8" spans="1:19" s="6" customFormat="1" ht="17.25">
      <c r="A8" s="7"/>
      <c r="B8" s="194" t="s">
        <v>9</v>
      </c>
      <c r="C8" s="75" t="s">
        <v>10</v>
      </c>
      <c r="D8" s="191">
        <f>D9+D15+D18+D19+D20+D37+D17</f>
        <v>841050</v>
      </c>
      <c r="E8" s="191">
        <f>E9+E15+E18+E19+E20+E37+E17</f>
        <v>499536.28</v>
      </c>
      <c r="F8" s="191">
        <f>F9+F15+F18+F19+F20+F37+F17</f>
        <v>507205.85</v>
      </c>
      <c r="G8" s="191">
        <f aca="true" t="shared" si="0" ref="G8:G37">F8-E8</f>
        <v>7669.569999999949</v>
      </c>
      <c r="H8" s="192">
        <f>F8/E8*100</f>
        <v>101.53533793381332</v>
      </c>
      <c r="I8" s="193">
        <f>F8-D8</f>
        <v>-333844.15</v>
      </c>
      <c r="J8" s="193">
        <f>F8/D8*100</f>
        <v>60.30626597705249</v>
      </c>
      <c r="K8" s="191">
        <f>366772.22</f>
        <v>366772.22</v>
      </c>
      <c r="L8" s="191">
        <f aca="true" t="shared" si="1" ref="L8:L15">F8-K8</f>
        <v>140433.63</v>
      </c>
      <c r="M8" s="256">
        <f aca="true" t="shared" si="2" ref="M8:M15">F8/K8</f>
        <v>1.382890585333862</v>
      </c>
      <c r="N8" s="191">
        <f>N9+N15+N18+N19+N20+N17</f>
        <v>79300.50000000003</v>
      </c>
      <c r="O8" s="191">
        <f>O9+O15+O18+O19+O20+O17</f>
        <v>41694.419999999984</v>
      </c>
      <c r="P8" s="191">
        <f>O8-N8</f>
        <v>-37606.080000000045</v>
      </c>
      <c r="Q8" s="191">
        <f>O8/N8*100</f>
        <v>52.57775171657173</v>
      </c>
      <c r="R8" s="15" t="e">
        <f>#N/A</f>
        <v>#N/A</v>
      </c>
      <c r="S8" s="15" t="e">
        <f>#N/A</f>
        <v>#N/A</v>
      </c>
    </row>
    <row r="9" spans="1:19" s="6" customFormat="1" ht="18">
      <c r="A9" s="8"/>
      <c r="B9" s="13" t="s">
        <v>82</v>
      </c>
      <c r="C9" s="48">
        <v>11010000</v>
      </c>
      <c r="D9" s="190">
        <v>459700</v>
      </c>
      <c r="E9" s="190">
        <v>263724.27</v>
      </c>
      <c r="F9" s="196">
        <v>281731.25</v>
      </c>
      <c r="G9" s="190">
        <f t="shared" si="0"/>
        <v>18006.97999999998</v>
      </c>
      <c r="H9" s="197">
        <f>F9/E9*100</f>
        <v>106.82795709321708</v>
      </c>
      <c r="I9" s="198">
        <f>F9-D9</f>
        <v>-177968.75</v>
      </c>
      <c r="J9" s="198">
        <f>F9/D9*100</f>
        <v>61.28589297367849</v>
      </c>
      <c r="K9" s="199">
        <v>203434.44</v>
      </c>
      <c r="L9" s="199">
        <f t="shared" si="1"/>
        <v>78296.81</v>
      </c>
      <c r="M9" s="257">
        <f t="shared" si="2"/>
        <v>1.3848749012212485</v>
      </c>
      <c r="N9" s="197">
        <f>E9-червень!E9</f>
        <v>39820.00000000003</v>
      </c>
      <c r="O9" s="200">
        <f>F9-червень!F9</f>
        <v>20288.709999999992</v>
      </c>
      <c r="P9" s="201">
        <f>O9-N9</f>
        <v>-19531.290000000037</v>
      </c>
      <c r="Q9" s="198">
        <f>O9/N9*100</f>
        <v>50.95105474635856</v>
      </c>
      <c r="R9" s="106"/>
      <c r="S9" s="107"/>
    </row>
    <row r="10" spans="1:19" s="6" customFormat="1" ht="18" hidden="1">
      <c r="A10" s="8"/>
      <c r="B10" s="136" t="s">
        <v>93</v>
      </c>
      <c r="C10" s="108">
        <v>11010100</v>
      </c>
      <c r="D10" s="109">
        <v>411440</v>
      </c>
      <c r="E10" s="109">
        <v>234015.84</v>
      </c>
      <c r="F10" s="171">
        <v>248446.17</v>
      </c>
      <c r="G10" s="109">
        <f t="shared" si="0"/>
        <v>14430.330000000016</v>
      </c>
      <c r="H10" s="32">
        <f aca="true" t="shared" si="3" ref="H10:H36">F10/E10*100</f>
        <v>106.16639027511985</v>
      </c>
      <c r="I10" s="110">
        <f aca="true" t="shared" si="4" ref="I10:I37">F10-D10</f>
        <v>-162993.83</v>
      </c>
      <c r="J10" s="110">
        <f aca="true" t="shared" si="5" ref="J10:J36">F10/D10*100</f>
        <v>60.38454452654093</v>
      </c>
      <c r="K10" s="112">
        <v>180069.97</v>
      </c>
      <c r="L10" s="112">
        <f t="shared" si="1"/>
        <v>68376.20000000001</v>
      </c>
      <c r="M10" s="258">
        <f t="shared" si="2"/>
        <v>1.3797201721086532</v>
      </c>
      <c r="N10" s="111">
        <f>E10-червень!E10</f>
        <v>34720</v>
      </c>
      <c r="O10" s="179">
        <f>F10-червень!F10</f>
        <v>17177.76000000001</v>
      </c>
      <c r="P10" s="112">
        <f aca="true" t="shared" si="6" ref="P10:P37">O10-N10</f>
        <v>-17542.23999999999</v>
      </c>
      <c r="Q10" s="198">
        <f aca="true" t="shared" si="7" ref="Q10:Q16">O10/N10*100</f>
        <v>49.4751152073733</v>
      </c>
      <c r="R10" s="42"/>
      <c r="S10" s="100"/>
    </row>
    <row r="11" spans="1:19" s="6" customFormat="1" ht="18" hidden="1">
      <c r="A11" s="8"/>
      <c r="B11" s="136" t="s">
        <v>89</v>
      </c>
      <c r="C11" s="108">
        <v>11010200</v>
      </c>
      <c r="D11" s="109">
        <v>23000</v>
      </c>
      <c r="E11" s="109">
        <v>15914.94</v>
      </c>
      <c r="F11" s="171">
        <v>19588.58</v>
      </c>
      <c r="G11" s="109">
        <f t="shared" si="0"/>
        <v>3673.6400000000012</v>
      </c>
      <c r="H11" s="32">
        <f t="shared" si="3"/>
        <v>123.08296481168011</v>
      </c>
      <c r="I11" s="110">
        <f t="shared" si="4"/>
        <v>-3411.4199999999983</v>
      </c>
      <c r="J11" s="110">
        <f t="shared" si="5"/>
        <v>85.1677391304348</v>
      </c>
      <c r="K11" s="112">
        <v>10791.39</v>
      </c>
      <c r="L11" s="112">
        <f t="shared" si="1"/>
        <v>8797.190000000002</v>
      </c>
      <c r="M11" s="258">
        <f t="shared" si="2"/>
        <v>1.815204528795642</v>
      </c>
      <c r="N11" s="111">
        <f>E11-червень!E11</f>
        <v>1750</v>
      </c>
      <c r="O11" s="179">
        <f>F11-червень!F11</f>
        <v>1556.3300000000017</v>
      </c>
      <c r="P11" s="112">
        <f t="shared" si="6"/>
        <v>-193.66999999999825</v>
      </c>
      <c r="Q11" s="198">
        <f t="shared" si="7"/>
        <v>88.93314285714295</v>
      </c>
      <c r="R11" s="42"/>
      <c r="S11" s="100"/>
    </row>
    <row r="12" spans="1:19" s="6" customFormat="1" ht="18" hidden="1">
      <c r="A12" s="8"/>
      <c r="B12" s="136" t="s">
        <v>92</v>
      </c>
      <c r="C12" s="108">
        <v>11010400</v>
      </c>
      <c r="D12" s="109">
        <v>6500</v>
      </c>
      <c r="E12" s="109">
        <v>3270.61</v>
      </c>
      <c r="F12" s="171">
        <v>5692.61</v>
      </c>
      <c r="G12" s="109">
        <f t="shared" si="0"/>
        <v>2421.9999999999995</v>
      </c>
      <c r="H12" s="32">
        <f t="shared" si="3"/>
        <v>174.05346403270337</v>
      </c>
      <c r="I12" s="110">
        <f t="shared" si="4"/>
        <v>-807.3900000000003</v>
      </c>
      <c r="J12" s="110">
        <f t="shared" si="5"/>
        <v>87.57861538461538</v>
      </c>
      <c r="K12" s="112">
        <v>3052.92</v>
      </c>
      <c r="L12" s="112">
        <f t="shared" si="1"/>
        <v>2639.6899999999996</v>
      </c>
      <c r="M12" s="258">
        <f t="shared" si="2"/>
        <v>1.8646443405002422</v>
      </c>
      <c r="N12" s="111">
        <f>E12-червень!E12</f>
        <v>550</v>
      </c>
      <c r="O12" s="179">
        <f>F12-червень!F12</f>
        <v>403.9499999999998</v>
      </c>
      <c r="P12" s="112">
        <f t="shared" si="6"/>
        <v>-146.05000000000018</v>
      </c>
      <c r="Q12" s="198">
        <f t="shared" si="7"/>
        <v>73.44545454545451</v>
      </c>
      <c r="R12" s="42"/>
      <c r="S12" s="100"/>
    </row>
    <row r="13" spans="1:19" s="6" customFormat="1" ht="18" hidden="1">
      <c r="A13" s="8"/>
      <c r="B13" s="136" t="s">
        <v>90</v>
      </c>
      <c r="C13" s="108">
        <v>11010500</v>
      </c>
      <c r="D13" s="109">
        <v>12400</v>
      </c>
      <c r="E13" s="109">
        <v>6764.84</v>
      </c>
      <c r="F13" s="171">
        <v>5553.01</v>
      </c>
      <c r="G13" s="109">
        <f t="shared" si="0"/>
        <v>-1211.83</v>
      </c>
      <c r="H13" s="32">
        <f t="shared" si="3"/>
        <v>82.08634646200058</v>
      </c>
      <c r="I13" s="110">
        <f t="shared" si="4"/>
        <v>-6846.99</v>
      </c>
      <c r="J13" s="110">
        <f t="shared" si="5"/>
        <v>44.78233870967742</v>
      </c>
      <c r="K13" s="112">
        <v>4060.02</v>
      </c>
      <c r="L13" s="112">
        <f t="shared" si="1"/>
        <v>1492.9900000000002</v>
      </c>
      <c r="M13" s="258">
        <f t="shared" si="2"/>
        <v>1.3677297156171646</v>
      </c>
      <c r="N13" s="111">
        <f>E13-червень!E13</f>
        <v>2180</v>
      </c>
      <c r="O13" s="179">
        <f>F13-червень!F13</f>
        <v>1100.4000000000005</v>
      </c>
      <c r="P13" s="112">
        <f t="shared" si="6"/>
        <v>-1079.5999999999995</v>
      </c>
      <c r="Q13" s="198">
        <f t="shared" si="7"/>
        <v>50.47706422018351</v>
      </c>
      <c r="R13" s="42"/>
      <c r="S13" s="100"/>
    </row>
    <row r="14" spans="1:19" s="6" customFormat="1" ht="18" hidden="1">
      <c r="A14" s="8"/>
      <c r="B14" s="136" t="s">
        <v>91</v>
      </c>
      <c r="C14" s="108">
        <v>11010900</v>
      </c>
      <c r="D14" s="109">
        <v>6360</v>
      </c>
      <c r="E14" s="109">
        <v>3758.04</v>
      </c>
      <c r="F14" s="171">
        <v>2450.88</v>
      </c>
      <c r="G14" s="109">
        <f t="shared" si="0"/>
        <v>-1307.1599999999999</v>
      </c>
      <c r="H14" s="32">
        <f t="shared" si="3"/>
        <v>65.2169748060159</v>
      </c>
      <c r="I14" s="110">
        <f t="shared" si="4"/>
        <v>-3909.12</v>
      </c>
      <c r="J14" s="110">
        <f t="shared" si="5"/>
        <v>38.53584905660378</v>
      </c>
      <c r="K14" s="112">
        <v>5460.12</v>
      </c>
      <c r="L14" s="112">
        <f t="shared" si="1"/>
        <v>-3009.24</v>
      </c>
      <c r="M14" s="258">
        <f t="shared" si="2"/>
        <v>0.44886925562075564</v>
      </c>
      <c r="N14" s="111">
        <f>E14-червень!E14</f>
        <v>620</v>
      </c>
      <c r="O14" s="179">
        <f>F14-червень!F14</f>
        <v>50.26999999999998</v>
      </c>
      <c r="P14" s="112">
        <f t="shared" si="6"/>
        <v>-569.73</v>
      </c>
      <c r="Q14" s="198">
        <f t="shared" si="7"/>
        <v>8.10806451612903</v>
      </c>
      <c r="R14" s="42"/>
      <c r="S14" s="100"/>
    </row>
    <row r="15" spans="1:19" s="6" customFormat="1" ht="30.75">
      <c r="A15" s="8"/>
      <c r="B15" s="12" t="s">
        <v>11</v>
      </c>
      <c r="C15" s="48">
        <v>11020200</v>
      </c>
      <c r="D15" s="190">
        <v>500</v>
      </c>
      <c r="E15" s="190">
        <v>250</v>
      </c>
      <c r="F15" s="196">
        <v>309.24</v>
      </c>
      <c r="G15" s="190">
        <f t="shared" si="0"/>
        <v>59.24000000000001</v>
      </c>
      <c r="H15" s="197">
        <f>F15/E15*100</f>
        <v>123.69600000000001</v>
      </c>
      <c r="I15" s="198">
        <f t="shared" si="4"/>
        <v>-190.76</v>
      </c>
      <c r="J15" s="198">
        <f t="shared" si="5"/>
        <v>61.848000000000006</v>
      </c>
      <c r="K15" s="201">
        <v>-788.76</v>
      </c>
      <c r="L15" s="201">
        <f t="shared" si="1"/>
        <v>1098</v>
      </c>
      <c r="M15" s="259">
        <f t="shared" si="2"/>
        <v>-0.39205842081241443</v>
      </c>
      <c r="N15" s="197">
        <f>E15-червень!E15</f>
        <v>10</v>
      </c>
      <c r="O15" s="200">
        <f>F15-червень!F15</f>
        <v>0</v>
      </c>
      <c r="P15" s="201">
        <f t="shared" si="6"/>
        <v>-10</v>
      </c>
      <c r="Q15" s="198">
        <f t="shared" si="7"/>
        <v>0</v>
      </c>
      <c r="R15" s="42"/>
      <c r="S15" s="100"/>
    </row>
    <row r="16" spans="1:19" s="6" customFormat="1" ht="18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3"/>
        <v>#DIV/0!</v>
      </c>
      <c r="I16" s="42">
        <f t="shared" si="4"/>
        <v>0</v>
      </c>
      <c r="J16" s="42" t="e">
        <f t="shared" si="5"/>
        <v>#DIV/0!</v>
      </c>
      <c r="K16" s="112">
        <f>F16-(-381.9)</f>
        <v>381.9</v>
      </c>
      <c r="L16" s="201">
        <f aca="true" t="shared" si="8" ref="L16:L22">F16-K16</f>
        <v>-381.9</v>
      </c>
      <c r="M16" s="259">
        <f aca="true" t="shared" si="9" ref="M16:M22">F16/K16</f>
        <v>0</v>
      </c>
      <c r="N16" s="197">
        <f>E16-червень!E16</f>
        <v>0</v>
      </c>
      <c r="O16" s="200">
        <f>F16-червень!F16</f>
        <v>0</v>
      </c>
      <c r="P16" s="40">
        <f t="shared" si="6"/>
        <v>0</v>
      </c>
      <c r="Q16" s="198" t="e">
        <f t="shared" si="7"/>
        <v>#DIV/0!</v>
      </c>
      <c r="R16" s="110">
        <f>O16-358.81</f>
        <v>-358.81</v>
      </c>
      <c r="S16" s="115">
        <f>O16/358.79</f>
        <v>0</v>
      </c>
    </row>
    <row r="17" spans="1:19" s="6" customFormat="1" ht="30.75">
      <c r="A17" s="8"/>
      <c r="B17" s="49" t="s">
        <v>88</v>
      </c>
      <c r="C17" s="135">
        <v>13010200</v>
      </c>
      <c r="D17" s="202">
        <v>0</v>
      </c>
      <c r="E17" s="202">
        <v>0</v>
      </c>
      <c r="F17" s="203">
        <v>0.17</v>
      </c>
      <c r="G17" s="202">
        <f t="shared" si="0"/>
        <v>0.17</v>
      </c>
      <c r="H17" s="204"/>
      <c r="I17" s="205">
        <f t="shared" si="4"/>
        <v>0.17</v>
      </c>
      <c r="J17" s="205"/>
      <c r="K17" s="207">
        <v>0.09</v>
      </c>
      <c r="L17" s="201">
        <f t="shared" si="8"/>
        <v>0.08000000000000002</v>
      </c>
      <c r="M17" s="259">
        <f t="shared" si="9"/>
        <v>1.888888888888889</v>
      </c>
      <c r="N17" s="197">
        <f>E17-червень!E17</f>
        <v>0</v>
      </c>
      <c r="O17" s="200">
        <f>F17-червень!F17</f>
        <v>0</v>
      </c>
      <c r="P17" s="207">
        <f t="shared" si="6"/>
        <v>0</v>
      </c>
      <c r="Q17" s="198"/>
      <c r="R17" s="110"/>
      <c r="S17" s="115"/>
    </row>
    <row r="18" spans="1:19" s="6" customFormat="1" ht="30.75">
      <c r="A18" s="8"/>
      <c r="B18" s="13" t="s">
        <v>75</v>
      </c>
      <c r="C18" s="48">
        <v>13030200</v>
      </c>
      <c r="D18" s="190">
        <v>10</v>
      </c>
      <c r="E18" s="190">
        <v>10</v>
      </c>
      <c r="F18" s="196">
        <v>105.8</v>
      </c>
      <c r="G18" s="190">
        <f t="shared" si="0"/>
        <v>95.8</v>
      </c>
      <c r="H18" s="197">
        <f t="shared" si="3"/>
        <v>1058</v>
      </c>
      <c r="I18" s="198">
        <f t="shared" si="4"/>
        <v>95.8</v>
      </c>
      <c r="J18" s="198">
        <f t="shared" si="5"/>
        <v>1058</v>
      </c>
      <c r="K18" s="201">
        <v>15.8</v>
      </c>
      <c r="L18" s="201">
        <f t="shared" si="8"/>
        <v>90</v>
      </c>
      <c r="M18" s="259">
        <f t="shared" si="9"/>
        <v>6.696202531645569</v>
      </c>
      <c r="N18" s="197">
        <f>E18-червень!E18</f>
        <v>0</v>
      </c>
      <c r="O18" s="200">
        <f>F18-червень!F18</f>
        <v>0</v>
      </c>
      <c r="P18" s="201">
        <f t="shared" si="6"/>
        <v>0</v>
      </c>
      <c r="Q18" s="198"/>
      <c r="R18" s="42"/>
      <c r="S18" s="100"/>
    </row>
    <row r="19" spans="1:19" s="6" customFormat="1" ht="46.5">
      <c r="A19" s="8"/>
      <c r="B19" s="49" t="s">
        <v>74</v>
      </c>
      <c r="C19" s="48">
        <v>14040000</v>
      </c>
      <c r="D19" s="190">
        <v>109900</v>
      </c>
      <c r="E19" s="190">
        <v>58760.4</v>
      </c>
      <c r="F19" s="196">
        <v>45995.4</v>
      </c>
      <c r="G19" s="190">
        <f t="shared" si="0"/>
        <v>-12765</v>
      </c>
      <c r="H19" s="197">
        <f t="shared" si="3"/>
        <v>78.27618600281822</v>
      </c>
      <c r="I19" s="198">
        <f t="shared" si="4"/>
        <v>-63904.6</v>
      </c>
      <c r="J19" s="198">
        <f t="shared" si="5"/>
        <v>41.852047315741586</v>
      </c>
      <c r="K19" s="209">
        <v>37124.61</v>
      </c>
      <c r="L19" s="201">
        <f t="shared" si="8"/>
        <v>8870.79</v>
      </c>
      <c r="M19" s="265">
        <f t="shared" si="9"/>
        <v>1.2389463485272976</v>
      </c>
      <c r="N19" s="197">
        <f>E19-червень!E19</f>
        <v>10900</v>
      </c>
      <c r="O19" s="200">
        <f>F19-червень!F19</f>
        <v>1483.3800000000047</v>
      </c>
      <c r="P19" s="201">
        <f t="shared" si="6"/>
        <v>-9416.619999999995</v>
      </c>
      <c r="Q19" s="198">
        <f aca="true" t="shared" si="10" ref="Q19:Q24">O19/N19*100</f>
        <v>13.608990825688117</v>
      </c>
      <c r="R19" s="113"/>
      <c r="S19" s="114"/>
    </row>
    <row r="20" spans="1:19" s="6" customFormat="1" ht="18">
      <c r="A20" s="8"/>
      <c r="B20" s="130" t="s">
        <v>76</v>
      </c>
      <c r="C20" s="48">
        <v>18000000</v>
      </c>
      <c r="D20" s="190">
        <f>D21+D30+D32+D29</f>
        <v>270940</v>
      </c>
      <c r="E20" s="190">
        <f>E21+E30+E32+E29</f>
        <v>176791.61</v>
      </c>
      <c r="F20" s="277">
        <f>F21+F29+F30+F31+F32</f>
        <v>179063.99</v>
      </c>
      <c r="G20" s="190">
        <f t="shared" si="0"/>
        <v>2272.3800000000047</v>
      </c>
      <c r="H20" s="197">
        <f t="shared" si="3"/>
        <v>101.28534380110005</v>
      </c>
      <c r="I20" s="198">
        <f t="shared" si="4"/>
        <v>-91876.01000000001</v>
      </c>
      <c r="J20" s="198">
        <f t="shared" si="5"/>
        <v>66.08990551413598</v>
      </c>
      <c r="K20" s="198">
        <v>122956.99</v>
      </c>
      <c r="L20" s="201">
        <f t="shared" si="8"/>
        <v>56106.999999999985</v>
      </c>
      <c r="M20" s="260">
        <f t="shared" si="9"/>
        <v>1.4563140330614792</v>
      </c>
      <c r="N20" s="197">
        <f>N21+N30+N31+N32</f>
        <v>28570.5</v>
      </c>
      <c r="O20" s="200">
        <f>F20-червень!F20</f>
        <v>19922.329999999987</v>
      </c>
      <c r="P20" s="201">
        <f t="shared" si="6"/>
        <v>-8648.170000000013</v>
      </c>
      <c r="Q20" s="198">
        <f t="shared" si="10"/>
        <v>69.73042123869021</v>
      </c>
      <c r="R20" s="113"/>
      <c r="S20" s="114"/>
    </row>
    <row r="21" spans="1:19" s="6" customFormat="1" ht="18">
      <c r="A21" s="8"/>
      <c r="B21" s="49" t="s">
        <v>84</v>
      </c>
      <c r="C21" s="127">
        <v>18010000</v>
      </c>
      <c r="D21" s="190">
        <f>D22+D25+D26</f>
        <v>161400</v>
      </c>
      <c r="E21" s="190">
        <f>E22+E25+E26</f>
        <v>96608.66</v>
      </c>
      <c r="F21" s="211">
        <f>F22+F25+F26</f>
        <v>94149.13</v>
      </c>
      <c r="G21" s="190">
        <f t="shared" si="0"/>
        <v>-2459.529999999999</v>
      </c>
      <c r="H21" s="197">
        <f t="shared" si="3"/>
        <v>97.45413092366668</v>
      </c>
      <c r="I21" s="198">
        <f t="shared" si="4"/>
        <v>-67250.87</v>
      </c>
      <c r="J21" s="198">
        <f t="shared" si="5"/>
        <v>58.33279429987609</v>
      </c>
      <c r="K21" s="198">
        <v>67867.18</v>
      </c>
      <c r="L21" s="201">
        <f t="shared" si="8"/>
        <v>26281.95000000001</v>
      </c>
      <c r="M21" s="260">
        <f t="shared" si="9"/>
        <v>1.387255666140836</v>
      </c>
      <c r="N21" s="197">
        <f>N22+N25+N26</f>
        <v>18465.3</v>
      </c>
      <c r="O21" s="200">
        <f>F21-червень!F21</f>
        <v>8154.740000000005</v>
      </c>
      <c r="P21" s="201">
        <f t="shared" si="6"/>
        <v>-10310.559999999994</v>
      </c>
      <c r="Q21" s="198">
        <f t="shared" si="10"/>
        <v>44.16251022187566</v>
      </c>
      <c r="R21" s="113"/>
      <c r="S21" s="114"/>
    </row>
    <row r="22" spans="1:21" s="6" customFormat="1" ht="18">
      <c r="A22" s="8"/>
      <c r="B22" s="55" t="s">
        <v>77</v>
      </c>
      <c r="C22" s="138"/>
      <c r="D22" s="212">
        <v>18500</v>
      </c>
      <c r="E22" s="212">
        <v>12591.6</v>
      </c>
      <c r="F22" s="213">
        <v>11486.76</v>
      </c>
      <c r="G22" s="212">
        <f t="shared" si="0"/>
        <v>-1104.8400000000001</v>
      </c>
      <c r="H22" s="214">
        <f t="shared" si="3"/>
        <v>91.22557895740016</v>
      </c>
      <c r="I22" s="215">
        <f t="shared" si="4"/>
        <v>-7013.24</v>
      </c>
      <c r="J22" s="215">
        <f t="shared" si="5"/>
        <v>62.09059459459459</v>
      </c>
      <c r="K22" s="216">
        <v>8455.99</v>
      </c>
      <c r="L22" s="206">
        <f t="shared" si="8"/>
        <v>3030.7700000000004</v>
      </c>
      <c r="M22" s="268">
        <f t="shared" si="9"/>
        <v>1.3584169328487854</v>
      </c>
      <c r="N22" s="214">
        <f>E22-червень!E22</f>
        <v>3980</v>
      </c>
      <c r="O22" s="217">
        <f>F22-червень!F22</f>
        <v>2253.17</v>
      </c>
      <c r="P22" s="218">
        <f t="shared" si="6"/>
        <v>-1726.83</v>
      </c>
      <c r="Q22" s="215">
        <f t="shared" si="10"/>
        <v>56.61231155778894</v>
      </c>
      <c r="R22" s="113"/>
      <c r="S22" s="114"/>
      <c r="U22" s="186"/>
    </row>
    <row r="23" spans="1:21" s="6" customFormat="1" ht="18" hidden="1">
      <c r="A23" s="8"/>
      <c r="B23" s="237" t="s">
        <v>164</v>
      </c>
      <c r="C23" s="238"/>
      <c r="D23" s="241">
        <v>2000</v>
      </c>
      <c r="E23" s="241">
        <v>689.1</v>
      </c>
      <c r="F23" s="203">
        <v>465.53</v>
      </c>
      <c r="G23" s="241">
        <f t="shared" si="0"/>
        <v>-223.57000000000005</v>
      </c>
      <c r="H23" s="242">
        <f t="shared" si="3"/>
        <v>67.55623276737774</v>
      </c>
      <c r="I23" s="243">
        <f t="shared" si="4"/>
        <v>-1534.47</v>
      </c>
      <c r="J23" s="243">
        <f t="shared" si="5"/>
        <v>23.2765</v>
      </c>
      <c r="K23" s="267">
        <v>461.3</v>
      </c>
      <c r="L23" s="267">
        <f aca="true" t="shared" si="11" ref="L23:L39">F23-K23</f>
        <v>4.229999999999961</v>
      </c>
      <c r="M23" s="269">
        <f aca="true" t="shared" si="12" ref="M23:M28">F23/K23</f>
        <v>1.0091697376978104</v>
      </c>
      <c r="N23" s="239">
        <f>E23-червень!E23</f>
        <v>300</v>
      </c>
      <c r="O23" s="239">
        <f>F23-червень!F23</f>
        <v>123.42999999999995</v>
      </c>
      <c r="P23" s="240">
        <f t="shared" si="6"/>
        <v>-176.57000000000005</v>
      </c>
      <c r="Q23" s="240">
        <f t="shared" si="10"/>
        <v>41.14333333333332</v>
      </c>
      <c r="R23" s="113"/>
      <c r="S23" s="114"/>
      <c r="U23" s="186"/>
    </row>
    <row r="24" spans="1:21" s="6" customFormat="1" ht="18" hidden="1">
      <c r="A24" s="8"/>
      <c r="B24" s="237" t="s">
        <v>165</v>
      </c>
      <c r="C24" s="238"/>
      <c r="D24" s="241">
        <v>16500</v>
      </c>
      <c r="E24" s="241">
        <v>11902.5</v>
      </c>
      <c r="F24" s="203">
        <v>11486.76</v>
      </c>
      <c r="G24" s="241">
        <f t="shared" si="0"/>
        <v>-415.7399999999998</v>
      </c>
      <c r="H24" s="242">
        <f t="shared" si="3"/>
        <v>96.50712035286705</v>
      </c>
      <c r="I24" s="243">
        <f t="shared" si="4"/>
        <v>-5013.24</v>
      </c>
      <c r="J24" s="243">
        <f t="shared" si="5"/>
        <v>69.61672727272727</v>
      </c>
      <c r="K24" s="267">
        <v>7994.69</v>
      </c>
      <c r="L24" s="267">
        <f t="shared" si="11"/>
        <v>3492.0700000000006</v>
      </c>
      <c r="M24" s="269">
        <f t="shared" si="12"/>
        <v>1.4367986751206114</v>
      </c>
      <c r="N24" s="239">
        <f>E24-червень!E24</f>
        <v>3680</v>
      </c>
      <c r="O24" s="239">
        <f>F24-червень!F24</f>
        <v>2595.2700000000004</v>
      </c>
      <c r="P24" s="240">
        <f t="shared" si="6"/>
        <v>-1084.7299999999996</v>
      </c>
      <c r="Q24" s="240">
        <f t="shared" si="10"/>
        <v>70.52364130434783</v>
      </c>
      <c r="R24" s="113"/>
      <c r="S24" s="114"/>
      <c r="U24" s="186"/>
    </row>
    <row r="25" spans="1:19" s="6" customFormat="1" ht="18">
      <c r="A25" s="8"/>
      <c r="B25" s="55" t="s">
        <v>78</v>
      </c>
      <c r="C25" s="138"/>
      <c r="D25" s="212">
        <v>2800</v>
      </c>
      <c r="E25" s="212">
        <v>693.14</v>
      </c>
      <c r="F25" s="213">
        <v>460.05</v>
      </c>
      <c r="G25" s="212">
        <f t="shared" si="0"/>
        <v>-233.08999999999997</v>
      </c>
      <c r="H25" s="214">
        <f t="shared" si="3"/>
        <v>66.3718729261044</v>
      </c>
      <c r="I25" s="215">
        <f t="shared" si="4"/>
        <v>-2339.95</v>
      </c>
      <c r="J25" s="215">
        <f t="shared" si="5"/>
        <v>16.430357142857144</v>
      </c>
      <c r="K25" s="215">
        <v>773.2</v>
      </c>
      <c r="L25" s="215">
        <f t="shared" si="11"/>
        <v>-313.15000000000003</v>
      </c>
      <c r="M25" s="263">
        <f t="shared" si="12"/>
        <v>0.5949948266942576</v>
      </c>
      <c r="N25" s="214">
        <f>E25-червень!E25</f>
        <v>416.3</v>
      </c>
      <c r="O25" s="217">
        <f>F25-червень!F25</f>
        <v>25</v>
      </c>
      <c r="P25" s="218">
        <f t="shared" si="6"/>
        <v>-391.3</v>
      </c>
      <c r="Q25" s="215"/>
      <c r="R25" s="113"/>
      <c r="S25" s="114"/>
    </row>
    <row r="26" spans="1:19" s="6" customFormat="1" ht="18">
      <c r="A26" s="8"/>
      <c r="B26" s="55" t="s">
        <v>79</v>
      </c>
      <c r="C26" s="138"/>
      <c r="D26" s="212">
        <v>140100</v>
      </c>
      <c r="E26" s="212">
        <v>83323.92</v>
      </c>
      <c r="F26" s="213">
        <v>82202.32</v>
      </c>
      <c r="G26" s="212">
        <f t="shared" si="0"/>
        <v>-1121.5999999999913</v>
      </c>
      <c r="H26" s="214">
        <f t="shared" si="3"/>
        <v>98.65392794770098</v>
      </c>
      <c r="I26" s="215">
        <f t="shared" si="4"/>
        <v>-57897.67999999999</v>
      </c>
      <c r="J26" s="215">
        <f t="shared" si="5"/>
        <v>58.67403283369023</v>
      </c>
      <c r="K26" s="216">
        <v>58637.99</v>
      </c>
      <c r="L26" s="216">
        <f t="shared" si="11"/>
        <v>23564.33000000001</v>
      </c>
      <c r="M26" s="262">
        <f t="shared" si="12"/>
        <v>1.4018611483783807</v>
      </c>
      <c r="N26" s="214">
        <f>E26-червень!E26</f>
        <v>14069</v>
      </c>
      <c r="O26" s="217">
        <f>F26-червень!F26</f>
        <v>5876.570000000007</v>
      </c>
      <c r="P26" s="218">
        <f t="shared" si="6"/>
        <v>-8192.429999999993</v>
      </c>
      <c r="Q26" s="215">
        <f>O26/N26*100</f>
        <v>41.76963536854081</v>
      </c>
      <c r="R26" s="113"/>
      <c r="S26" s="114"/>
    </row>
    <row r="27" spans="1:19" s="6" customFormat="1" ht="18" hidden="1">
      <c r="A27" s="8"/>
      <c r="B27" s="237" t="s">
        <v>166</v>
      </c>
      <c r="C27" s="238"/>
      <c r="D27" s="241">
        <v>38057</v>
      </c>
      <c r="E27" s="241">
        <v>23964.75</v>
      </c>
      <c r="F27" s="203">
        <v>25997.76</v>
      </c>
      <c r="G27" s="241">
        <f t="shared" si="0"/>
        <v>2033.0099999999984</v>
      </c>
      <c r="H27" s="242">
        <f t="shared" si="3"/>
        <v>108.48333489813162</v>
      </c>
      <c r="I27" s="243">
        <f t="shared" si="4"/>
        <v>-12059.240000000002</v>
      </c>
      <c r="J27" s="243">
        <f t="shared" si="5"/>
        <v>68.31268886144467</v>
      </c>
      <c r="K27" s="267">
        <v>15594.88</v>
      </c>
      <c r="L27" s="267">
        <f t="shared" si="11"/>
        <v>10402.88</v>
      </c>
      <c r="M27" s="269">
        <f t="shared" si="12"/>
        <v>1.6670702179176755</v>
      </c>
      <c r="N27" s="239">
        <f>E27-червень!E27</f>
        <v>4535</v>
      </c>
      <c r="O27" s="239">
        <f>F27-червень!F27</f>
        <v>2260.91</v>
      </c>
      <c r="P27" s="240">
        <f t="shared" si="6"/>
        <v>-2274.09</v>
      </c>
      <c r="Q27" s="240">
        <f>O27/N27*100</f>
        <v>49.85468577728776</v>
      </c>
      <c r="R27" s="113"/>
      <c r="S27" s="114"/>
    </row>
    <row r="28" spans="1:19" s="6" customFormat="1" ht="18" hidden="1">
      <c r="A28" s="8"/>
      <c r="B28" s="237" t="s">
        <v>167</v>
      </c>
      <c r="C28" s="238"/>
      <c r="D28" s="241">
        <v>102043</v>
      </c>
      <c r="E28" s="241">
        <v>59359.17</v>
      </c>
      <c r="F28" s="203">
        <v>56204.56</v>
      </c>
      <c r="G28" s="241">
        <f t="shared" si="0"/>
        <v>-3154.6100000000006</v>
      </c>
      <c r="H28" s="242">
        <f t="shared" si="3"/>
        <v>94.68555574479899</v>
      </c>
      <c r="I28" s="243">
        <f t="shared" si="4"/>
        <v>-45838.44</v>
      </c>
      <c r="J28" s="243">
        <f t="shared" si="5"/>
        <v>55.079290103191795</v>
      </c>
      <c r="K28" s="267">
        <v>43043.11</v>
      </c>
      <c r="L28" s="267">
        <f t="shared" si="11"/>
        <v>13161.449999999997</v>
      </c>
      <c r="M28" s="269">
        <f t="shared" si="12"/>
        <v>1.3057736766697388</v>
      </c>
      <c r="N28" s="239">
        <f>E28-червень!E28</f>
        <v>9534</v>
      </c>
      <c r="O28" s="239">
        <f>F28-червень!F28</f>
        <v>3615.6699999999983</v>
      </c>
      <c r="P28" s="240">
        <f t="shared" si="6"/>
        <v>-5918.330000000002</v>
      </c>
      <c r="Q28" s="240">
        <f>O28/N28*100</f>
        <v>37.92395636668763</v>
      </c>
      <c r="R28" s="113"/>
      <c r="S28" s="114"/>
    </row>
    <row r="29" spans="1:19" s="6" customFormat="1" ht="18">
      <c r="A29" s="8"/>
      <c r="B29" s="49" t="s">
        <v>187</v>
      </c>
      <c r="C29" s="276">
        <v>18020000</v>
      </c>
      <c r="D29" s="202">
        <v>0</v>
      </c>
      <c r="E29" s="202">
        <v>0</v>
      </c>
      <c r="F29" s="242">
        <v>0.15</v>
      </c>
      <c r="G29" s="190">
        <f t="shared" si="0"/>
        <v>0.15</v>
      </c>
      <c r="H29" s="197"/>
      <c r="I29" s="198">
        <f t="shared" si="4"/>
        <v>0.15</v>
      </c>
      <c r="J29" s="198"/>
      <c r="K29" s="207">
        <v>0</v>
      </c>
      <c r="L29" s="198">
        <f t="shared" si="11"/>
        <v>0.15</v>
      </c>
      <c r="M29" s="261"/>
      <c r="N29" s="214">
        <v>0</v>
      </c>
      <c r="O29" s="200">
        <f>F29</f>
        <v>0.15</v>
      </c>
      <c r="P29" s="201">
        <f t="shared" si="6"/>
        <v>0.15</v>
      </c>
      <c r="Q29" s="198"/>
      <c r="R29" s="113"/>
      <c r="S29" s="114"/>
    </row>
    <row r="30" spans="1:19" s="6" customFormat="1" ht="18">
      <c r="A30" s="8"/>
      <c r="B30" s="49" t="s">
        <v>85</v>
      </c>
      <c r="C30" s="127">
        <v>18030000</v>
      </c>
      <c r="D30" s="190">
        <v>77</v>
      </c>
      <c r="E30" s="190">
        <v>40.91</v>
      </c>
      <c r="F30" s="196">
        <v>65.02</v>
      </c>
      <c r="G30" s="190">
        <f t="shared" si="0"/>
        <v>24.11</v>
      </c>
      <c r="H30" s="197">
        <f t="shared" si="3"/>
        <v>158.93424590564655</v>
      </c>
      <c r="I30" s="198">
        <f t="shared" si="4"/>
        <v>-11.980000000000004</v>
      </c>
      <c r="J30" s="198">
        <f t="shared" si="5"/>
        <v>84.44155844155844</v>
      </c>
      <c r="K30" s="198">
        <v>41.66</v>
      </c>
      <c r="L30" s="198">
        <f t="shared" si="11"/>
        <v>23.36</v>
      </c>
      <c r="M30" s="261">
        <f>F30/K30</f>
        <v>1.5607297167546808</v>
      </c>
      <c r="N30" s="197">
        <f>E30-червень!E29</f>
        <v>5.199999999999996</v>
      </c>
      <c r="O30" s="200">
        <f>F30-червень!F29</f>
        <v>9.399999999999999</v>
      </c>
      <c r="P30" s="201">
        <f t="shared" si="6"/>
        <v>4.200000000000003</v>
      </c>
      <c r="Q30" s="198">
        <f>O30/N30*100</f>
        <v>180.7692307692309</v>
      </c>
      <c r="R30" s="113"/>
      <c r="S30" s="114"/>
    </row>
    <row r="31" spans="1:19" s="6" customFormat="1" ht="49.5" customHeight="1">
      <c r="A31" s="8"/>
      <c r="B31" s="49" t="s">
        <v>86</v>
      </c>
      <c r="C31" s="127">
        <v>18040000</v>
      </c>
      <c r="D31" s="190"/>
      <c r="E31" s="190"/>
      <c r="F31" s="196">
        <v>-137.76</v>
      </c>
      <c r="G31" s="190">
        <f t="shared" si="0"/>
        <v>-137.76</v>
      </c>
      <c r="H31" s="197"/>
      <c r="I31" s="198">
        <f t="shared" si="4"/>
        <v>-137.76</v>
      </c>
      <c r="J31" s="198"/>
      <c r="K31" s="198">
        <v>-530.36</v>
      </c>
      <c r="L31" s="198">
        <f t="shared" si="11"/>
        <v>392.6</v>
      </c>
      <c r="M31" s="261">
        <f>F31/K31</f>
        <v>0.2597480956331548</v>
      </c>
      <c r="N31" s="197">
        <f>E31-червень!E30</f>
        <v>0</v>
      </c>
      <c r="O31" s="200">
        <f>F31-червень!F30</f>
        <v>-12.719999999999985</v>
      </c>
      <c r="P31" s="201">
        <f t="shared" si="6"/>
        <v>-12.719999999999985</v>
      </c>
      <c r="Q31" s="198"/>
      <c r="R31" s="113"/>
      <c r="S31" s="114"/>
    </row>
    <row r="32" spans="1:19" s="6" customFormat="1" ht="18">
      <c r="A32" s="8"/>
      <c r="B32" s="49" t="s">
        <v>87</v>
      </c>
      <c r="C32" s="127">
        <v>18050000</v>
      </c>
      <c r="D32" s="202">
        <v>109463</v>
      </c>
      <c r="E32" s="202">
        <v>80142.04</v>
      </c>
      <c r="F32" s="203">
        <v>84987.45</v>
      </c>
      <c r="G32" s="202">
        <f t="shared" si="0"/>
        <v>4845.4100000000035</v>
      </c>
      <c r="H32" s="204">
        <f t="shared" si="3"/>
        <v>106.04602777768073</v>
      </c>
      <c r="I32" s="205">
        <f t="shared" si="4"/>
        <v>-24475.550000000003</v>
      </c>
      <c r="J32" s="205">
        <f t="shared" si="5"/>
        <v>77.64034422590281</v>
      </c>
      <c r="K32" s="219">
        <v>55578.51</v>
      </c>
      <c r="L32" s="219">
        <f t="shared" si="11"/>
        <v>29408.939999999995</v>
      </c>
      <c r="M32" s="264">
        <f>F32/L32</f>
        <v>2.8898508412747965</v>
      </c>
      <c r="N32" s="197">
        <f>E32-червень!E31</f>
        <v>10100</v>
      </c>
      <c r="O32" s="200">
        <f>F32-червень!F31</f>
        <v>11770.759999999995</v>
      </c>
      <c r="P32" s="207">
        <f t="shared" si="6"/>
        <v>1670.7599999999948</v>
      </c>
      <c r="Q32" s="205">
        <f>O32/N32*100</f>
        <v>116.54217821782173</v>
      </c>
      <c r="R32" s="113"/>
      <c r="S32" s="114"/>
    </row>
    <row r="33" spans="1:19" s="6" customFormat="1" ht="15" hidden="1">
      <c r="A33" s="8"/>
      <c r="B33" s="55" t="s">
        <v>94</v>
      </c>
      <c r="C33" s="108">
        <v>18050200</v>
      </c>
      <c r="D33" s="109">
        <v>0</v>
      </c>
      <c r="E33" s="109">
        <v>0</v>
      </c>
      <c r="F33" s="171">
        <v>0.22</v>
      </c>
      <c r="G33" s="109">
        <f t="shared" si="0"/>
        <v>0.22</v>
      </c>
      <c r="H33" s="111"/>
      <c r="I33" s="110">
        <f t="shared" si="4"/>
        <v>0.22</v>
      </c>
      <c r="J33" s="110"/>
      <c r="K33" s="142">
        <v>-1.2</v>
      </c>
      <c r="L33" s="142">
        <f t="shared" si="11"/>
        <v>1.42</v>
      </c>
      <c r="M33" s="270">
        <f aca="true" t="shared" si="13" ref="M33:M39">F33/K33</f>
        <v>-0.18333333333333335</v>
      </c>
      <c r="N33" s="111">
        <f>E33-червень!E32</f>
        <v>0</v>
      </c>
      <c r="O33" s="179">
        <f>F33-червень!F32</f>
        <v>0.04000000000000001</v>
      </c>
      <c r="P33" s="112">
        <f t="shared" si="6"/>
        <v>0.04000000000000001</v>
      </c>
      <c r="Q33" s="110"/>
      <c r="R33" s="113"/>
      <c r="S33" s="114"/>
    </row>
    <row r="34" spans="1:19" s="6" customFormat="1" ht="15" hidden="1">
      <c r="A34" s="8"/>
      <c r="B34" s="55" t="s">
        <v>95</v>
      </c>
      <c r="C34" s="108">
        <v>18050300</v>
      </c>
      <c r="D34" s="109">
        <v>27600</v>
      </c>
      <c r="E34" s="109">
        <v>19695.97</v>
      </c>
      <c r="F34" s="171">
        <v>20998.4</v>
      </c>
      <c r="G34" s="109">
        <f t="shared" si="0"/>
        <v>1302.4300000000003</v>
      </c>
      <c r="H34" s="111">
        <f t="shared" si="3"/>
        <v>106.61267254164177</v>
      </c>
      <c r="I34" s="110">
        <f t="shared" si="4"/>
        <v>-6601.5999999999985</v>
      </c>
      <c r="J34" s="110">
        <f t="shared" si="5"/>
        <v>76.08115942028985</v>
      </c>
      <c r="K34" s="142">
        <v>13078.86</v>
      </c>
      <c r="L34" s="142">
        <f t="shared" si="11"/>
        <v>7919.540000000001</v>
      </c>
      <c r="M34" s="270">
        <f t="shared" si="13"/>
        <v>1.6055221938303492</v>
      </c>
      <c r="N34" s="111">
        <f>E34-червень!E33</f>
        <v>2000</v>
      </c>
      <c r="O34" s="179">
        <f>F34-червень!F33</f>
        <v>2685.34</v>
      </c>
      <c r="P34" s="112">
        <f t="shared" si="6"/>
        <v>685.3400000000001</v>
      </c>
      <c r="Q34" s="110">
        <f>O34/N34*100</f>
        <v>134.267</v>
      </c>
      <c r="R34" s="113"/>
      <c r="S34" s="114"/>
    </row>
    <row r="35" spans="1:19" s="6" customFormat="1" ht="15" hidden="1">
      <c r="A35" s="8"/>
      <c r="B35" s="55" t="s">
        <v>96</v>
      </c>
      <c r="C35" s="108">
        <v>18050400</v>
      </c>
      <c r="D35" s="109">
        <v>81812</v>
      </c>
      <c r="E35" s="109">
        <v>60436.08</v>
      </c>
      <c r="F35" s="171">
        <v>63974.82</v>
      </c>
      <c r="G35" s="109">
        <f t="shared" si="0"/>
        <v>3538.739999999998</v>
      </c>
      <c r="H35" s="111">
        <f t="shared" si="3"/>
        <v>105.85534336442734</v>
      </c>
      <c r="I35" s="110">
        <f t="shared" si="4"/>
        <v>-17837.18</v>
      </c>
      <c r="J35" s="110">
        <f t="shared" si="5"/>
        <v>78.19735491125996</v>
      </c>
      <c r="K35" s="142">
        <v>42491.04</v>
      </c>
      <c r="L35" s="142">
        <f t="shared" si="11"/>
        <v>21483.78</v>
      </c>
      <c r="M35" s="270">
        <f t="shared" si="13"/>
        <v>1.5056072997977927</v>
      </c>
      <c r="N35" s="111">
        <f>E35-червень!E34</f>
        <v>8100</v>
      </c>
      <c r="O35" s="179">
        <f>F35-червень!F34</f>
        <v>9085.370000000003</v>
      </c>
      <c r="P35" s="112">
        <f t="shared" si="6"/>
        <v>985.3700000000026</v>
      </c>
      <c r="Q35" s="110">
        <f>O35/N35*100</f>
        <v>112.16506172839509</v>
      </c>
      <c r="R35" s="113"/>
      <c r="S35" s="114"/>
    </row>
    <row r="36" spans="1:19" s="6" customFormat="1" ht="15" hidden="1">
      <c r="A36" s="8"/>
      <c r="B36" s="55" t="s">
        <v>97</v>
      </c>
      <c r="C36" s="108">
        <v>18050500</v>
      </c>
      <c r="D36" s="109">
        <v>51</v>
      </c>
      <c r="E36" s="109">
        <v>9.99</v>
      </c>
      <c r="F36" s="171">
        <v>14.01</v>
      </c>
      <c r="G36" s="109">
        <f t="shared" si="0"/>
        <v>4.02</v>
      </c>
      <c r="H36" s="111">
        <f t="shared" si="3"/>
        <v>140.24024024024024</v>
      </c>
      <c r="I36" s="110">
        <f t="shared" si="4"/>
        <v>-36.99</v>
      </c>
      <c r="J36" s="110">
        <f t="shared" si="5"/>
        <v>27.47058823529412</v>
      </c>
      <c r="K36" s="142">
        <v>9.8</v>
      </c>
      <c r="L36" s="142">
        <f t="shared" si="11"/>
        <v>4.209999999999999</v>
      </c>
      <c r="M36" s="270">
        <f t="shared" si="13"/>
        <v>1.4295918367346938</v>
      </c>
      <c r="N36" s="111">
        <f>E36-травень!E35</f>
        <v>0</v>
      </c>
      <c r="O36" s="179">
        <f>F36-червень!F35</f>
        <v>0</v>
      </c>
      <c r="P36" s="112">
        <f t="shared" si="6"/>
        <v>0</v>
      </c>
      <c r="Q36" s="110"/>
      <c r="R36" s="113"/>
      <c r="S36" s="114"/>
    </row>
    <row r="37" spans="1:19" s="6" customFormat="1" ht="15" customHeight="1" hidden="1">
      <c r="A37" s="8"/>
      <c r="B37" s="49" t="s">
        <v>47</v>
      </c>
      <c r="C37" s="48">
        <v>19010000</v>
      </c>
      <c r="D37" s="36">
        <v>0</v>
      </c>
      <c r="E37" s="36">
        <v>0</v>
      </c>
      <c r="F37" s="36">
        <v>0</v>
      </c>
      <c r="G37" s="36">
        <f t="shared" si="0"/>
        <v>0</v>
      </c>
      <c r="H37" s="32"/>
      <c r="I37" s="42">
        <f t="shared" si="4"/>
        <v>0</v>
      </c>
      <c r="J37" s="42"/>
      <c r="K37" s="132">
        <v>4029.06</v>
      </c>
      <c r="L37" s="132">
        <f t="shared" si="11"/>
        <v>-4029.06</v>
      </c>
      <c r="M37" s="271">
        <f t="shared" si="13"/>
        <v>0</v>
      </c>
      <c r="N37" s="32">
        <v>0</v>
      </c>
      <c r="O37" s="179">
        <f>F37-червень!F36</f>
        <v>0</v>
      </c>
      <c r="P37" s="40">
        <f t="shared" si="6"/>
        <v>0</v>
      </c>
      <c r="Q37" s="42"/>
      <c r="R37" s="113"/>
      <c r="S37" s="114"/>
    </row>
    <row r="38" spans="1:19" s="6" customFormat="1" ht="17.25">
      <c r="A38" s="7"/>
      <c r="B38" s="16" t="s">
        <v>12</v>
      </c>
      <c r="C38" s="75">
        <v>20000000</v>
      </c>
      <c r="D38" s="191">
        <f>D39+D40+D41+D42+D43+D45+D47+D48+D49+D50+D51+D56+D57+D61</f>
        <v>42820</v>
      </c>
      <c r="E38" s="191">
        <f>E39+E40+E41+E42+E43+E45+E47+E48+E49+E50+E51+E56+E57+E61</f>
        <v>25146.029999999995</v>
      </c>
      <c r="F38" s="191">
        <f>F39+F40+F41+F42+F43+F45+F47+F48+F49+F50+F51+F56+F57+F61+F44</f>
        <v>34993.33</v>
      </c>
      <c r="G38" s="191">
        <f>G39+G40+G41+G42+G43+G45+G47+G48+G49+G50+G51+G56+G57+G61</f>
        <v>9819.84</v>
      </c>
      <c r="H38" s="192">
        <f>F38/E38*100</f>
        <v>139.16045594473565</v>
      </c>
      <c r="I38" s="193">
        <f>F38-D38</f>
        <v>-7826.669999999998</v>
      </c>
      <c r="J38" s="193">
        <f>F38/D38*100</f>
        <v>81.7219290051378</v>
      </c>
      <c r="K38" s="191">
        <v>18825.24</v>
      </c>
      <c r="L38" s="191">
        <f t="shared" si="11"/>
        <v>16168.09</v>
      </c>
      <c r="M38" s="256">
        <f t="shared" si="13"/>
        <v>1.8588517330987546</v>
      </c>
      <c r="N38" s="191">
        <f>N39+N40+N41+N42+N43+N45+N47+N48+N49+N50+N51+N56+N57+N61</f>
        <v>3647.9999999999995</v>
      </c>
      <c r="O38" s="191">
        <f>O39+O40+O41+O42+O43+O45+O47+O48+O49+O50+O51+O56+O57+O61+O44</f>
        <v>5732.68</v>
      </c>
      <c r="P38" s="191">
        <f>P39+P40+P41+P42+P43+P45+P47+P48+P49+P50+P51+P56+P57+P61</f>
        <v>2070.8200000000006</v>
      </c>
      <c r="Q38" s="191">
        <f>O38/N38*100</f>
        <v>157.14583333333337</v>
      </c>
      <c r="R38" s="15" t="e">
        <f>#N/A</f>
        <v>#N/A</v>
      </c>
      <c r="S38" s="15" t="e">
        <f>#N/A</f>
        <v>#N/A</v>
      </c>
    </row>
    <row r="39" spans="1:19" s="6" customFormat="1" ht="46.5">
      <c r="A39" s="8"/>
      <c r="B39" s="49" t="s">
        <v>102</v>
      </c>
      <c r="C39" s="48">
        <v>21010301</v>
      </c>
      <c r="D39" s="190">
        <v>100</v>
      </c>
      <c r="E39" s="190">
        <v>70</v>
      </c>
      <c r="F39" s="196">
        <v>241.39</v>
      </c>
      <c r="G39" s="202">
        <f>F39-E39</f>
        <v>171.39</v>
      </c>
      <c r="H39" s="204">
        <f aca="true" t="shared" si="14" ref="H39:H62">F39/E39*100</f>
        <v>344.84285714285716</v>
      </c>
      <c r="I39" s="205">
        <f>F39-D39</f>
        <v>141.39</v>
      </c>
      <c r="J39" s="205">
        <f>F39/D39*100</f>
        <v>241.39</v>
      </c>
      <c r="K39" s="205">
        <v>101.4</v>
      </c>
      <c r="L39" s="205">
        <f t="shared" si="11"/>
        <v>139.98999999999998</v>
      </c>
      <c r="M39" s="272">
        <f t="shared" si="13"/>
        <v>2.3805719921104536</v>
      </c>
      <c r="N39" s="204">
        <f>E39-червень!E38</f>
        <v>3</v>
      </c>
      <c r="O39" s="208">
        <f>F39-червень!F38</f>
        <v>1.2199999999999989</v>
      </c>
      <c r="P39" s="207">
        <f>O39-N39</f>
        <v>-1.7800000000000011</v>
      </c>
      <c r="Q39" s="205">
        <f aca="true" t="shared" si="15" ref="Q39:Q62">O39/N39*100</f>
        <v>40.66666666666663</v>
      </c>
      <c r="R39" s="42"/>
      <c r="S39" s="100"/>
    </row>
    <row r="40" spans="1:19" s="6" customFormat="1" ht="30.75">
      <c r="A40" s="8"/>
      <c r="B40" s="144" t="s">
        <v>80</v>
      </c>
      <c r="C40" s="47">
        <v>21050000</v>
      </c>
      <c r="D40" s="190">
        <v>10000</v>
      </c>
      <c r="E40" s="190">
        <v>7537</v>
      </c>
      <c r="F40" s="196">
        <v>17271.02</v>
      </c>
      <c r="G40" s="202">
        <f aca="true" t="shared" si="16" ref="G40:G63">F40-E40</f>
        <v>9734.02</v>
      </c>
      <c r="H40" s="204">
        <f t="shared" si="14"/>
        <v>229.14979434788378</v>
      </c>
      <c r="I40" s="205">
        <f aca="true" t="shared" si="17" ref="I40:I63">F40-D40</f>
        <v>7271.02</v>
      </c>
      <c r="J40" s="205">
        <f>F40/D40*100</f>
        <v>172.71020000000001</v>
      </c>
      <c r="K40" s="205">
        <v>0</v>
      </c>
      <c r="L40" s="205">
        <f aca="true" t="shared" si="18" ref="L40:L51">F40-K40</f>
        <v>17271.02</v>
      </c>
      <c r="M40" s="272"/>
      <c r="N40" s="204">
        <f>E40-червень!E39</f>
        <v>1000</v>
      </c>
      <c r="O40" s="208">
        <f>F40-червень!F39</f>
        <v>3375.210000000001</v>
      </c>
      <c r="P40" s="207">
        <f aca="true" t="shared" si="19" ref="P40:P63">O40-N40</f>
        <v>2375.210000000001</v>
      </c>
      <c r="Q40" s="205">
        <f t="shared" si="15"/>
        <v>337.5210000000001</v>
      </c>
      <c r="R40" s="42"/>
      <c r="S40" s="100"/>
    </row>
    <row r="41" spans="1:19" s="6" customFormat="1" ht="18">
      <c r="A41" s="8"/>
      <c r="B41" s="144" t="s">
        <v>62</v>
      </c>
      <c r="C41" s="47">
        <v>21080500</v>
      </c>
      <c r="D41" s="190">
        <v>400</v>
      </c>
      <c r="E41" s="190">
        <v>131.44</v>
      </c>
      <c r="F41" s="196">
        <v>28.07</v>
      </c>
      <c r="G41" s="202">
        <f t="shared" si="16"/>
        <v>-103.37</v>
      </c>
      <c r="H41" s="204">
        <f t="shared" si="14"/>
        <v>21.355751673767497</v>
      </c>
      <c r="I41" s="205">
        <f t="shared" si="17"/>
        <v>-371.93</v>
      </c>
      <c r="J41" s="205">
        <f aca="true" t="shared" si="20" ref="J41:J62">F41/D41*100</f>
        <v>7.0175</v>
      </c>
      <c r="K41" s="205">
        <v>246.49</v>
      </c>
      <c r="L41" s="205">
        <f t="shared" si="18"/>
        <v>-218.42000000000002</v>
      </c>
      <c r="M41" s="272">
        <f aca="true" t="shared" si="21" ref="M41:M51">F41/K41</f>
        <v>0.11387885918292831</v>
      </c>
      <c r="N41" s="204">
        <f>E41-червень!E40</f>
        <v>20</v>
      </c>
      <c r="O41" s="208">
        <f>F41-червень!F40</f>
        <v>0</v>
      </c>
      <c r="P41" s="207">
        <f t="shared" si="19"/>
        <v>-20</v>
      </c>
      <c r="Q41" s="205">
        <f t="shared" si="15"/>
        <v>0</v>
      </c>
      <c r="R41" s="42"/>
      <c r="S41" s="100"/>
    </row>
    <row r="42" spans="1:19" s="6" customFormat="1" ht="31.5">
      <c r="A42" s="8"/>
      <c r="B42" s="27" t="s">
        <v>40</v>
      </c>
      <c r="C42" s="76">
        <v>21080900</v>
      </c>
      <c r="D42" s="190">
        <f>6.5-6.5</f>
        <v>0</v>
      </c>
      <c r="E42" s="190">
        <v>0</v>
      </c>
      <c r="F42" s="196">
        <v>0.1</v>
      </c>
      <c r="G42" s="202">
        <f t="shared" si="16"/>
        <v>0.1</v>
      </c>
      <c r="H42" s="204"/>
      <c r="I42" s="205">
        <f t="shared" si="17"/>
        <v>0.1</v>
      </c>
      <c r="J42" s="205"/>
      <c r="K42" s="205">
        <v>0</v>
      </c>
      <c r="L42" s="205">
        <f t="shared" si="18"/>
        <v>0.1</v>
      </c>
      <c r="M42" s="272"/>
      <c r="N42" s="204">
        <f>E42-червень!E41</f>
        <v>0</v>
      </c>
      <c r="O42" s="208">
        <f>F42-червень!F41</f>
        <v>0</v>
      </c>
      <c r="P42" s="207">
        <f t="shared" si="19"/>
        <v>0</v>
      </c>
      <c r="Q42" s="205"/>
      <c r="R42" s="42"/>
      <c r="S42" s="100"/>
    </row>
    <row r="43" spans="1:19" s="6" customFormat="1" ht="18">
      <c r="A43" s="8"/>
      <c r="B43" s="145" t="s">
        <v>16</v>
      </c>
      <c r="C43" s="77">
        <v>21081100</v>
      </c>
      <c r="D43" s="190">
        <v>150</v>
      </c>
      <c r="E43" s="190">
        <v>70</v>
      </c>
      <c r="F43" s="196">
        <v>73.15</v>
      </c>
      <c r="G43" s="202">
        <f t="shared" si="16"/>
        <v>3.1500000000000057</v>
      </c>
      <c r="H43" s="204">
        <f t="shared" si="14"/>
        <v>104.50000000000001</v>
      </c>
      <c r="I43" s="205">
        <f t="shared" si="17"/>
        <v>-76.85</v>
      </c>
      <c r="J43" s="205">
        <f t="shared" si="20"/>
        <v>48.766666666666666</v>
      </c>
      <c r="K43" s="205">
        <v>90.24</v>
      </c>
      <c r="L43" s="205">
        <f t="shared" si="18"/>
        <v>-17.08999999999999</v>
      </c>
      <c r="M43" s="272">
        <f t="shared" si="21"/>
        <v>0.8106161347517732</v>
      </c>
      <c r="N43" s="204">
        <f>E43-червень!E42</f>
        <v>10</v>
      </c>
      <c r="O43" s="208">
        <f>F43-червень!F42</f>
        <v>12.180000000000007</v>
      </c>
      <c r="P43" s="207">
        <f t="shared" si="19"/>
        <v>2.180000000000007</v>
      </c>
      <c r="Q43" s="205">
        <f t="shared" si="15"/>
        <v>121.80000000000007</v>
      </c>
      <c r="R43" s="42"/>
      <c r="S43" s="100"/>
    </row>
    <row r="44" spans="1:19" s="6" customFormat="1" ht="46.5">
      <c r="A44" s="8"/>
      <c r="B44" s="145" t="s">
        <v>83</v>
      </c>
      <c r="C44" s="77">
        <v>21081500</v>
      </c>
      <c r="D44" s="190">
        <v>0</v>
      </c>
      <c r="E44" s="190">
        <v>0</v>
      </c>
      <c r="F44" s="196">
        <v>27.46</v>
      </c>
      <c r="G44" s="202">
        <f t="shared" si="16"/>
        <v>27.46</v>
      </c>
      <c r="H44" s="204"/>
      <c r="I44" s="205">
        <f t="shared" si="17"/>
        <v>27.46</v>
      </c>
      <c r="J44" s="205"/>
      <c r="K44" s="205">
        <v>3</v>
      </c>
      <c r="L44" s="205">
        <f t="shared" si="18"/>
        <v>24.46</v>
      </c>
      <c r="M44" s="272">
        <f t="shared" si="21"/>
        <v>9.153333333333334</v>
      </c>
      <c r="N44" s="204">
        <f>E44-червень!E43</f>
        <v>0</v>
      </c>
      <c r="O44" s="208">
        <f>F44-червень!F43</f>
        <v>13.860000000000001</v>
      </c>
      <c r="P44" s="207"/>
      <c r="Q44" s="205"/>
      <c r="R44" s="42"/>
      <c r="S44" s="100"/>
    </row>
    <row r="45" spans="1:19" s="6" customFormat="1" ht="30.75">
      <c r="A45" s="8"/>
      <c r="B45" s="187" t="s">
        <v>124</v>
      </c>
      <c r="C45" s="54">
        <v>22010300</v>
      </c>
      <c r="D45" s="190">
        <v>90</v>
      </c>
      <c r="E45" s="190">
        <v>48</v>
      </c>
      <c r="F45" s="196">
        <v>232.27</v>
      </c>
      <c r="G45" s="202">
        <f t="shared" si="16"/>
        <v>184.27</v>
      </c>
      <c r="H45" s="204">
        <f t="shared" si="14"/>
        <v>483.8958333333333</v>
      </c>
      <c r="I45" s="205">
        <f t="shared" si="17"/>
        <v>142.27</v>
      </c>
      <c r="J45" s="205">
        <f t="shared" si="20"/>
        <v>258.0777777777778</v>
      </c>
      <c r="K45" s="205">
        <v>0</v>
      </c>
      <c r="L45" s="205">
        <f t="shared" si="18"/>
        <v>232.27</v>
      </c>
      <c r="M45" s="272"/>
      <c r="N45" s="204">
        <f>E45-червень!E44</f>
        <v>8</v>
      </c>
      <c r="O45" s="208">
        <f>F45-червень!F44</f>
        <v>64.19</v>
      </c>
      <c r="P45" s="207">
        <f t="shared" si="19"/>
        <v>56.19</v>
      </c>
      <c r="Q45" s="205">
        <f t="shared" si="15"/>
        <v>802.375</v>
      </c>
      <c r="R45" s="42"/>
      <c r="S45" s="100"/>
    </row>
    <row r="46" spans="1:19" s="6" customFormat="1" ht="18" hidden="1">
      <c r="A46" s="8"/>
      <c r="B46" s="145"/>
      <c r="C46" s="54"/>
      <c r="D46" s="190"/>
      <c r="E46" s="190"/>
      <c r="F46" s="196"/>
      <c r="G46" s="202"/>
      <c r="H46" s="204"/>
      <c r="I46" s="205"/>
      <c r="J46" s="205"/>
      <c r="K46" s="205"/>
      <c r="L46" s="205">
        <f t="shared" si="18"/>
        <v>0</v>
      </c>
      <c r="M46" s="272" t="e">
        <f t="shared" si="21"/>
        <v>#DIV/0!</v>
      </c>
      <c r="N46" s="204">
        <f>E46-червень!E45</f>
        <v>0</v>
      </c>
      <c r="O46" s="208">
        <f>F46-червень!F45</f>
        <v>0</v>
      </c>
      <c r="P46" s="207"/>
      <c r="Q46" s="205"/>
      <c r="R46" s="42"/>
      <c r="S46" s="100"/>
    </row>
    <row r="47" spans="1:19" s="6" customFormat="1" ht="18">
      <c r="A47" s="8"/>
      <c r="B47" s="35" t="s">
        <v>81</v>
      </c>
      <c r="C47" s="77">
        <v>22012500</v>
      </c>
      <c r="D47" s="190">
        <v>9900</v>
      </c>
      <c r="E47" s="190">
        <v>5339.02</v>
      </c>
      <c r="F47" s="196">
        <v>5840.36</v>
      </c>
      <c r="G47" s="202">
        <f t="shared" si="16"/>
        <v>501.33999999999924</v>
      </c>
      <c r="H47" s="204">
        <f t="shared" si="14"/>
        <v>109.39011279223527</v>
      </c>
      <c r="I47" s="205">
        <f t="shared" si="17"/>
        <v>-4059.6400000000003</v>
      </c>
      <c r="J47" s="205">
        <f t="shared" si="20"/>
        <v>58.99353535353535</v>
      </c>
      <c r="K47" s="205">
        <v>5937.66</v>
      </c>
      <c r="L47" s="205">
        <f t="shared" si="18"/>
        <v>-97.30000000000018</v>
      </c>
      <c r="M47" s="272">
        <f t="shared" si="21"/>
        <v>0.9836130731635021</v>
      </c>
      <c r="N47" s="204">
        <f>E47-червень!E46</f>
        <v>800</v>
      </c>
      <c r="O47" s="208">
        <f>F47-червень!F46</f>
        <v>839.2999999999993</v>
      </c>
      <c r="P47" s="207">
        <f t="shared" si="19"/>
        <v>39.29999999999927</v>
      </c>
      <c r="Q47" s="205">
        <f t="shared" si="15"/>
        <v>104.91249999999992</v>
      </c>
      <c r="R47" s="42"/>
      <c r="S47" s="100"/>
    </row>
    <row r="48" spans="1:19" s="6" customFormat="1" ht="31.5">
      <c r="A48" s="8"/>
      <c r="B48" s="188" t="s">
        <v>111</v>
      </c>
      <c r="C48" s="77">
        <v>22012600</v>
      </c>
      <c r="D48" s="190">
        <v>1500</v>
      </c>
      <c r="E48" s="190">
        <v>780</v>
      </c>
      <c r="F48" s="196">
        <v>105.88</v>
      </c>
      <c r="G48" s="202">
        <f t="shared" si="16"/>
        <v>-674.12</v>
      </c>
      <c r="H48" s="204">
        <f t="shared" si="14"/>
        <v>13.574358974358974</v>
      </c>
      <c r="I48" s="205">
        <f t="shared" si="17"/>
        <v>-1394.12</v>
      </c>
      <c r="J48" s="205">
        <f t="shared" si="20"/>
        <v>7.0586666666666655</v>
      </c>
      <c r="K48" s="205">
        <v>0</v>
      </c>
      <c r="L48" s="205">
        <f t="shared" si="18"/>
        <v>105.88</v>
      </c>
      <c r="M48" s="272"/>
      <c r="N48" s="204">
        <f>E48-червень!E47</f>
        <v>130</v>
      </c>
      <c r="O48" s="208">
        <f>F48-червень!F47</f>
        <v>36.959999999999994</v>
      </c>
      <c r="P48" s="207">
        <f t="shared" si="19"/>
        <v>-93.04</v>
      </c>
      <c r="Q48" s="205">
        <f t="shared" si="15"/>
        <v>28.430769230769226</v>
      </c>
      <c r="R48" s="42"/>
      <c r="S48" s="100"/>
    </row>
    <row r="49" spans="1:19" s="6" customFormat="1" ht="31.5">
      <c r="A49" s="8"/>
      <c r="B49" s="188" t="s">
        <v>125</v>
      </c>
      <c r="C49" s="77">
        <v>22012900</v>
      </c>
      <c r="D49" s="190">
        <v>50</v>
      </c>
      <c r="E49" s="190">
        <v>24</v>
      </c>
      <c r="F49" s="196">
        <v>8.54</v>
      </c>
      <c r="G49" s="202">
        <f t="shared" si="16"/>
        <v>-15.46</v>
      </c>
      <c r="H49" s="204">
        <f t="shared" si="14"/>
        <v>35.58333333333333</v>
      </c>
      <c r="I49" s="205">
        <f t="shared" si="17"/>
        <v>-41.46</v>
      </c>
      <c r="J49" s="205">
        <f t="shared" si="20"/>
        <v>17.08</v>
      </c>
      <c r="K49" s="205">
        <v>0</v>
      </c>
      <c r="L49" s="205">
        <f t="shared" si="18"/>
        <v>8.54</v>
      </c>
      <c r="M49" s="272"/>
      <c r="N49" s="204">
        <f>E49-червень!E48</f>
        <v>4</v>
      </c>
      <c r="O49" s="208">
        <f>F49-червень!F48</f>
        <v>0</v>
      </c>
      <c r="P49" s="207">
        <f t="shared" si="19"/>
        <v>-4</v>
      </c>
      <c r="Q49" s="205">
        <f t="shared" si="15"/>
        <v>0</v>
      </c>
      <c r="R49" s="42"/>
      <c r="S49" s="100"/>
    </row>
    <row r="50" spans="1:19" s="6" customFormat="1" ht="30.75">
      <c r="A50" s="8"/>
      <c r="B50" s="145" t="s">
        <v>14</v>
      </c>
      <c r="C50" s="54">
        <v>22080400</v>
      </c>
      <c r="D50" s="190">
        <v>8500</v>
      </c>
      <c r="E50" s="190">
        <v>4616.23</v>
      </c>
      <c r="F50" s="196">
        <v>4498</v>
      </c>
      <c r="G50" s="202">
        <f t="shared" si="16"/>
        <v>-118.22999999999956</v>
      </c>
      <c r="H50" s="204">
        <f t="shared" si="14"/>
        <v>97.43881912296398</v>
      </c>
      <c r="I50" s="205">
        <f t="shared" si="17"/>
        <v>-4002</v>
      </c>
      <c r="J50" s="205">
        <f t="shared" si="20"/>
        <v>52.917647058823526</v>
      </c>
      <c r="K50" s="205">
        <v>5141.74</v>
      </c>
      <c r="L50" s="205">
        <f t="shared" si="18"/>
        <v>-643.7399999999998</v>
      </c>
      <c r="M50" s="272">
        <f t="shared" si="21"/>
        <v>0.8748011373581707</v>
      </c>
      <c r="N50" s="204">
        <f>E50-червень!E49</f>
        <v>649.9999999999995</v>
      </c>
      <c r="O50" s="208">
        <f>F50-червень!F49</f>
        <v>569.9499999999998</v>
      </c>
      <c r="P50" s="207">
        <f t="shared" si="19"/>
        <v>-80.04999999999973</v>
      </c>
      <c r="Q50" s="205">
        <f t="shared" si="15"/>
        <v>87.68461538461541</v>
      </c>
      <c r="R50" s="42"/>
      <c r="S50" s="100"/>
    </row>
    <row r="51" spans="1:19" s="6" customFormat="1" ht="18">
      <c r="A51" s="8"/>
      <c r="B51" s="145" t="s">
        <v>15</v>
      </c>
      <c r="C51" s="48">
        <v>22090000</v>
      </c>
      <c r="D51" s="190">
        <v>7300</v>
      </c>
      <c r="E51" s="190">
        <v>3872.19</v>
      </c>
      <c r="F51" s="196">
        <v>3566.28</v>
      </c>
      <c r="G51" s="202">
        <f t="shared" si="16"/>
        <v>-305.90999999999985</v>
      </c>
      <c r="H51" s="204">
        <f t="shared" si="14"/>
        <v>92.09981948199857</v>
      </c>
      <c r="I51" s="205">
        <f t="shared" si="17"/>
        <v>-3733.72</v>
      </c>
      <c r="J51" s="205">
        <f t="shared" si="20"/>
        <v>48.853150684931514</v>
      </c>
      <c r="K51" s="205">
        <v>4692.18</v>
      </c>
      <c r="L51" s="205">
        <f t="shared" si="18"/>
        <v>-1125.9</v>
      </c>
      <c r="M51" s="272">
        <f t="shared" si="21"/>
        <v>0.760047568507602</v>
      </c>
      <c r="N51" s="204">
        <f>E51-червень!E50</f>
        <v>653</v>
      </c>
      <c r="O51" s="208">
        <f>F51-червень!F50</f>
        <v>471.6500000000001</v>
      </c>
      <c r="P51" s="207">
        <f t="shared" si="19"/>
        <v>-181.3499999999999</v>
      </c>
      <c r="Q51" s="205">
        <f t="shared" si="15"/>
        <v>72.22817764165393</v>
      </c>
      <c r="R51" s="42"/>
      <c r="S51" s="100"/>
    </row>
    <row r="52" spans="1:19" s="6" customFormat="1" ht="15" hidden="1">
      <c r="A52" s="8"/>
      <c r="B52" s="55" t="s">
        <v>101</v>
      </c>
      <c r="C52" s="138">
        <v>22090100</v>
      </c>
      <c r="D52" s="109">
        <v>1100</v>
      </c>
      <c r="E52" s="109">
        <v>643.99</v>
      </c>
      <c r="F52" s="171">
        <v>481.43</v>
      </c>
      <c r="G52" s="36">
        <f t="shared" si="16"/>
        <v>-162.56</v>
      </c>
      <c r="H52" s="32">
        <f t="shared" si="14"/>
        <v>74.75737200888213</v>
      </c>
      <c r="I52" s="110">
        <f t="shared" si="17"/>
        <v>-618.5699999999999</v>
      </c>
      <c r="J52" s="110">
        <f t="shared" si="20"/>
        <v>43.766363636363636</v>
      </c>
      <c r="K52" s="110">
        <v>675.25</v>
      </c>
      <c r="L52" s="110">
        <f>F52-K52</f>
        <v>-193.82</v>
      </c>
      <c r="M52" s="115">
        <f aca="true" t="shared" si="22" ref="M52:M57">F52/K52</f>
        <v>0.712965568308034</v>
      </c>
      <c r="N52" s="111">
        <f>E52-червень!E51</f>
        <v>92</v>
      </c>
      <c r="O52" s="179">
        <f>F52-червень!F51</f>
        <v>60.75999999999999</v>
      </c>
      <c r="P52" s="112">
        <f t="shared" si="19"/>
        <v>-31.24000000000001</v>
      </c>
      <c r="Q52" s="132">
        <f t="shared" si="15"/>
        <v>66.04347826086956</v>
      </c>
      <c r="R52" s="42"/>
      <c r="S52" s="100"/>
    </row>
    <row r="53" spans="1:19" s="6" customFormat="1" ht="15" hidden="1">
      <c r="A53" s="8"/>
      <c r="B53" s="55" t="s">
        <v>98</v>
      </c>
      <c r="C53" s="138">
        <v>22090200</v>
      </c>
      <c r="D53" s="109">
        <v>45</v>
      </c>
      <c r="E53" s="109">
        <v>6.04</v>
      </c>
      <c r="F53" s="171">
        <v>0.25</v>
      </c>
      <c r="G53" s="36">
        <f t="shared" si="16"/>
        <v>-5.79</v>
      </c>
      <c r="H53" s="32">
        <f t="shared" si="14"/>
        <v>4.13907284768212</v>
      </c>
      <c r="I53" s="110">
        <f t="shared" si="17"/>
        <v>-44.75</v>
      </c>
      <c r="J53" s="110">
        <f t="shared" si="20"/>
        <v>0.5555555555555556</v>
      </c>
      <c r="K53" s="110">
        <v>45.43</v>
      </c>
      <c r="L53" s="110">
        <f>F53-K53</f>
        <v>-45.18</v>
      </c>
      <c r="M53" s="115">
        <f t="shared" si="22"/>
        <v>0.00550297160466652</v>
      </c>
      <c r="N53" s="111">
        <f>E53-червень!E52</f>
        <v>1</v>
      </c>
      <c r="O53" s="179">
        <f>F53-червень!F52</f>
        <v>0.010000000000000009</v>
      </c>
      <c r="P53" s="112">
        <f t="shared" si="19"/>
        <v>-0.99</v>
      </c>
      <c r="Q53" s="132">
        <f t="shared" si="15"/>
        <v>1.0000000000000009</v>
      </c>
      <c r="R53" s="42"/>
      <c r="S53" s="100"/>
    </row>
    <row r="54" spans="1:19" s="6" customFormat="1" ht="15" hidden="1">
      <c r="A54" s="8"/>
      <c r="B54" s="55" t="s">
        <v>99</v>
      </c>
      <c r="C54" s="138">
        <v>22090300</v>
      </c>
      <c r="D54" s="109">
        <v>1</v>
      </c>
      <c r="E54" s="109">
        <v>0</v>
      </c>
      <c r="F54" s="171">
        <v>0.02</v>
      </c>
      <c r="G54" s="36">
        <f t="shared" si="16"/>
        <v>0.02</v>
      </c>
      <c r="H54" s="32"/>
      <c r="I54" s="110">
        <f t="shared" si="17"/>
        <v>-0.98</v>
      </c>
      <c r="J54" s="110">
        <f t="shared" si="20"/>
        <v>2</v>
      </c>
      <c r="K54" s="110">
        <v>0.75</v>
      </c>
      <c r="L54" s="110">
        <f>F54-K54</f>
        <v>-0.73</v>
      </c>
      <c r="M54" s="115">
        <f t="shared" si="22"/>
        <v>0.02666666666666667</v>
      </c>
      <c r="N54" s="111">
        <f>E54-червень!E53</f>
        <v>0</v>
      </c>
      <c r="O54" s="179">
        <f>F54-червень!F53</f>
        <v>0</v>
      </c>
      <c r="P54" s="112">
        <f t="shared" si="19"/>
        <v>0</v>
      </c>
      <c r="Q54" s="132"/>
      <c r="R54" s="42"/>
      <c r="S54" s="100"/>
    </row>
    <row r="55" spans="1:19" s="6" customFormat="1" ht="15" hidden="1">
      <c r="A55" s="8"/>
      <c r="B55" s="55" t="s">
        <v>100</v>
      </c>
      <c r="C55" s="138">
        <v>22090400</v>
      </c>
      <c r="D55" s="109">
        <v>6154</v>
      </c>
      <c r="E55" s="109">
        <v>3222.17</v>
      </c>
      <c r="F55" s="171">
        <v>3084.59</v>
      </c>
      <c r="G55" s="36">
        <f t="shared" si="16"/>
        <v>-137.57999999999993</v>
      </c>
      <c r="H55" s="32">
        <f t="shared" si="14"/>
        <v>95.73020666197004</v>
      </c>
      <c r="I55" s="110">
        <f t="shared" si="17"/>
        <v>-3069.41</v>
      </c>
      <c r="J55" s="110">
        <f t="shared" si="20"/>
        <v>50.12333441663959</v>
      </c>
      <c r="K55" s="110">
        <v>3970.78</v>
      </c>
      <c r="L55" s="110">
        <f>F55-K55</f>
        <v>-886.19</v>
      </c>
      <c r="M55" s="115">
        <f t="shared" si="22"/>
        <v>0.7768221860692358</v>
      </c>
      <c r="N55" s="111">
        <f>E55-червень!E54</f>
        <v>560</v>
      </c>
      <c r="O55" s="179">
        <f>F55-червень!F54</f>
        <v>410.8800000000001</v>
      </c>
      <c r="P55" s="112">
        <f t="shared" si="19"/>
        <v>-149.1199999999999</v>
      </c>
      <c r="Q55" s="132">
        <f t="shared" si="15"/>
        <v>73.37142857142858</v>
      </c>
      <c r="R55" s="42"/>
      <c r="S55" s="100"/>
    </row>
    <row r="56" spans="1:19" s="6" customFormat="1" ht="46.5">
      <c r="A56" s="8"/>
      <c r="B56" s="13" t="s">
        <v>17</v>
      </c>
      <c r="C56" s="11" t="s">
        <v>18</v>
      </c>
      <c r="D56" s="190">
        <v>10</v>
      </c>
      <c r="E56" s="190">
        <v>0.17</v>
      </c>
      <c r="F56" s="196">
        <v>2.46</v>
      </c>
      <c r="G56" s="202">
        <f t="shared" si="16"/>
        <v>2.29</v>
      </c>
      <c r="H56" s="204">
        <f t="shared" si="14"/>
        <v>1447.0588235294117</v>
      </c>
      <c r="I56" s="205">
        <f t="shared" si="17"/>
        <v>-7.54</v>
      </c>
      <c r="J56" s="205">
        <f t="shared" si="20"/>
        <v>24.6</v>
      </c>
      <c r="K56" s="205">
        <v>0</v>
      </c>
      <c r="L56" s="205">
        <f>F56-K56</f>
        <v>2.46</v>
      </c>
      <c r="M56" s="272" t="e">
        <f t="shared" si="22"/>
        <v>#DIV/0!</v>
      </c>
      <c r="N56" s="204">
        <f>E56-червень!E55</f>
        <v>0</v>
      </c>
      <c r="O56" s="208">
        <f>F56-червень!F55</f>
        <v>0</v>
      </c>
      <c r="P56" s="207">
        <f t="shared" si="19"/>
        <v>0</v>
      </c>
      <c r="Q56" s="205"/>
      <c r="R56" s="42"/>
      <c r="S56" s="100"/>
    </row>
    <row r="57" spans="1:19" s="6" customFormat="1" ht="15.75" customHeight="1">
      <c r="A57" s="8"/>
      <c r="B57" s="146" t="s">
        <v>13</v>
      </c>
      <c r="C57" s="11" t="s">
        <v>19</v>
      </c>
      <c r="D57" s="190">
        <v>4800</v>
      </c>
      <c r="E57" s="190">
        <v>2637.98</v>
      </c>
      <c r="F57" s="196">
        <v>3020.17</v>
      </c>
      <c r="G57" s="202">
        <f t="shared" si="16"/>
        <v>382.19000000000005</v>
      </c>
      <c r="H57" s="204">
        <f t="shared" si="14"/>
        <v>114.48797943881304</v>
      </c>
      <c r="I57" s="205">
        <f t="shared" si="17"/>
        <v>-1779.83</v>
      </c>
      <c r="J57" s="205">
        <f t="shared" si="20"/>
        <v>62.920208333333335</v>
      </c>
      <c r="K57" s="205">
        <v>2611.92</v>
      </c>
      <c r="L57" s="205">
        <f aca="true" t="shared" si="23" ref="L57:L63">F57-K57</f>
        <v>408.25</v>
      </c>
      <c r="M57" s="272">
        <f t="shared" si="22"/>
        <v>1.1563026432662562</v>
      </c>
      <c r="N57" s="204">
        <f>E57-червень!E56</f>
        <v>370</v>
      </c>
      <c r="O57" s="208">
        <f>F57-червень!F56</f>
        <v>311.0300000000002</v>
      </c>
      <c r="P57" s="207">
        <f t="shared" si="19"/>
        <v>-58.9699999999998</v>
      </c>
      <c r="Q57" s="205">
        <f t="shared" si="15"/>
        <v>84.06216216216221</v>
      </c>
      <c r="R57" s="42"/>
      <c r="S57" s="100"/>
    </row>
    <row r="58" spans="1:19" s="6" customFormat="1" ht="18" hidden="1">
      <c r="A58" s="8"/>
      <c r="B58" s="12" t="s">
        <v>22</v>
      </c>
      <c r="C58" s="66" t="s">
        <v>23</v>
      </c>
      <c r="D58" s="33">
        <v>0</v>
      </c>
      <c r="E58" s="33">
        <v>0</v>
      </c>
      <c r="F58" s="170">
        <v>0</v>
      </c>
      <c r="G58" s="202">
        <f t="shared" si="16"/>
        <v>0</v>
      </c>
      <c r="H58" s="204" t="e">
        <f t="shared" si="14"/>
        <v>#DIV/0!</v>
      </c>
      <c r="I58" s="205">
        <f t="shared" si="17"/>
        <v>0</v>
      </c>
      <c r="J58" s="205" t="e">
        <f t="shared" si="20"/>
        <v>#DIV/0!</v>
      </c>
      <c r="K58" s="205"/>
      <c r="L58" s="205">
        <f t="shared" si="23"/>
        <v>0</v>
      </c>
      <c r="M58" s="272" t="e">
        <f aca="true" t="shared" si="24" ref="M58:M63">F58/K58</f>
        <v>#DIV/0!</v>
      </c>
      <c r="N58" s="204">
        <f>E58-червень!E57</f>
        <v>0</v>
      </c>
      <c r="O58" s="208">
        <f>F58-квітень!F53</f>
        <v>0</v>
      </c>
      <c r="P58" s="207">
        <f t="shared" si="19"/>
        <v>0</v>
      </c>
      <c r="Q58" s="205" t="e">
        <f t="shared" si="15"/>
        <v>#DIV/0!</v>
      </c>
      <c r="R58" s="42"/>
      <c r="S58" s="100"/>
    </row>
    <row r="59" spans="1:19" s="6" customFormat="1" ht="30.75">
      <c r="A59" s="8"/>
      <c r="B59" s="55" t="s">
        <v>43</v>
      </c>
      <c r="C59" s="66"/>
      <c r="D59" s="109"/>
      <c r="E59" s="109"/>
      <c r="F59" s="245">
        <v>687.1</v>
      </c>
      <c r="G59" s="202"/>
      <c r="H59" s="204"/>
      <c r="I59" s="205"/>
      <c r="J59" s="205"/>
      <c r="K59" s="206">
        <v>683.21</v>
      </c>
      <c r="L59" s="205">
        <f t="shared" si="23"/>
        <v>3.8899999999999864</v>
      </c>
      <c r="M59" s="272">
        <f t="shared" si="24"/>
        <v>1.005693710572152</v>
      </c>
      <c r="N59" s="236"/>
      <c r="O59" s="220">
        <f>F59-червень!F58</f>
        <v>94.84000000000003</v>
      </c>
      <c r="P59" s="206"/>
      <c r="Q59" s="205"/>
      <c r="R59" s="42"/>
      <c r="S59" s="100"/>
    </row>
    <row r="60" spans="1:19" s="6" customFormat="1" ht="18" hidden="1">
      <c r="A60" s="8"/>
      <c r="B60" s="146" t="s">
        <v>20</v>
      </c>
      <c r="C60" s="143" t="s">
        <v>21</v>
      </c>
      <c r="D60" s="36">
        <v>0</v>
      </c>
      <c r="E60" s="36">
        <v>0</v>
      </c>
      <c r="F60" s="172">
        <v>0</v>
      </c>
      <c r="G60" s="202">
        <f t="shared" si="16"/>
        <v>0</v>
      </c>
      <c r="H60" s="204"/>
      <c r="I60" s="205">
        <f t="shared" si="17"/>
        <v>0</v>
      </c>
      <c r="J60" s="205"/>
      <c r="K60" s="206"/>
      <c r="L60" s="205">
        <f t="shared" si="23"/>
        <v>0</v>
      </c>
      <c r="M60" s="272" t="e">
        <f t="shared" si="24"/>
        <v>#DIV/0!</v>
      </c>
      <c r="N60" s="204">
        <f>E60-квітень!E55</f>
        <v>0</v>
      </c>
      <c r="O60" s="208">
        <f>F60-квітень!F55</f>
        <v>0</v>
      </c>
      <c r="P60" s="207">
        <f t="shared" si="19"/>
        <v>0</v>
      </c>
      <c r="Q60" s="205"/>
      <c r="R60" s="42"/>
      <c r="S60" s="100"/>
    </row>
    <row r="61" spans="1:19" s="6" customFormat="1" ht="44.25" customHeight="1">
      <c r="A61" s="8"/>
      <c r="B61" s="146" t="s">
        <v>44</v>
      </c>
      <c r="C61" s="48">
        <v>24061900</v>
      </c>
      <c r="D61" s="190">
        <v>20</v>
      </c>
      <c r="E61" s="190">
        <v>20</v>
      </c>
      <c r="F61" s="196">
        <v>78.18</v>
      </c>
      <c r="G61" s="202">
        <f t="shared" si="16"/>
        <v>58.18000000000001</v>
      </c>
      <c r="H61" s="204">
        <f t="shared" si="14"/>
        <v>390.90000000000003</v>
      </c>
      <c r="I61" s="205">
        <f t="shared" si="17"/>
        <v>58.18000000000001</v>
      </c>
      <c r="J61" s="205">
        <f t="shared" si="20"/>
        <v>390.90000000000003</v>
      </c>
      <c r="K61" s="205">
        <v>0.6</v>
      </c>
      <c r="L61" s="205">
        <f t="shared" si="23"/>
        <v>77.58000000000001</v>
      </c>
      <c r="M61" s="272">
        <f t="shared" si="24"/>
        <v>130.3</v>
      </c>
      <c r="N61" s="204">
        <f>E61-червень!E60</f>
        <v>0</v>
      </c>
      <c r="O61" s="208">
        <f>F61-червень!F60</f>
        <v>37.13000000000001</v>
      </c>
      <c r="P61" s="207">
        <f t="shared" si="19"/>
        <v>37.13000000000001</v>
      </c>
      <c r="Q61" s="205"/>
      <c r="R61" s="42"/>
      <c r="S61" s="100"/>
    </row>
    <row r="62" spans="1:19" s="6" customFormat="1" ht="18">
      <c r="A62" s="8"/>
      <c r="B62" s="12" t="s">
        <v>45</v>
      </c>
      <c r="C62" s="48">
        <v>31010200</v>
      </c>
      <c r="D62" s="190">
        <v>30</v>
      </c>
      <c r="E62" s="190">
        <v>14.5</v>
      </c>
      <c r="F62" s="196">
        <v>13.52</v>
      </c>
      <c r="G62" s="202">
        <f t="shared" si="16"/>
        <v>-0.9800000000000004</v>
      </c>
      <c r="H62" s="204">
        <f t="shared" si="14"/>
        <v>93.24137931034483</v>
      </c>
      <c r="I62" s="205">
        <f t="shared" si="17"/>
        <v>-16.48</v>
      </c>
      <c r="J62" s="205">
        <f t="shared" si="20"/>
        <v>45.06666666666666</v>
      </c>
      <c r="K62" s="205">
        <v>14.42</v>
      </c>
      <c r="L62" s="205">
        <f t="shared" si="23"/>
        <v>-0.9000000000000004</v>
      </c>
      <c r="M62" s="272">
        <f t="shared" si="24"/>
        <v>0.9375866851595007</v>
      </c>
      <c r="N62" s="204">
        <f>E62-червень!E61</f>
        <v>2.3000000000000007</v>
      </c>
      <c r="O62" s="208">
        <f>F62-червень!F61</f>
        <v>0</v>
      </c>
      <c r="P62" s="207">
        <f t="shared" si="19"/>
        <v>-2.3000000000000007</v>
      </c>
      <c r="Q62" s="205">
        <f t="shared" si="15"/>
        <v>0</v>
      </c>
      <c r="R62" s="42"/>
      <c r="S62" s="100"/>
    </row>
    <row r="63" spans="1:19" s="6" customFormat="1" ht="30.75">
      <c r="A63" s="8"/>
      <c r="B63" s="12" t="s">
        <v>58</v>
      </c>
      <c r="C63" s="48">
        <v>31020000</v>
      </c>
      <c r="D63" s="190">
        <v>0.6</v>
      </c>
      <c r="E63" s="190">
        <v>0</v>
      </c>
      <c r="F63" s="196">
        <v>1.02</v>
      </c>
      <c r="G63" s="202">
        <f t="shared" si="16"/>
        <v>1.02</v>
      </c>
      <c r="H63" s="204"/>
      <c r="I63" s="205">
        <f t="shared" si="17"/>
        <v>0.42000000000000004</v>
      </c>
      <c r="J63" s="205"/>
      <c r="K63" s="205">
        <v>0.1</v>
      </c>
      <c r="L63" s="205">
        <f t="shared" si="23"/>
        <v>0.92</v>
      </c>
      <c r="M63" s="272">
        <f t="shared" si="24"/>
        <v>10.2</v>
      </c>
      <c r="N63" s="204">
        <f>E63-травень!E62</f>
        <v>0</v>
      </c>
      <c r="O63" s="208">
        <f>F63-червень!F62</f>
        <v>0.62</v>
      </c>
      <c r="P63" s="207">
        <f t="shared" si="19"/>
        <v>0.62</v>
      </c>
      <c r="Q63" s="205"/>
      <c r="R63" s="42"/>
      <c r="S63" s="100"/>
    </row>
    <row r="64" spans="1:21" s="6" customFormat="1" ht="18">
      <c r="A64" s="9"/>
      <c r="B64" s="14" t="s">
        <v>28</v>
      </c>
      <c r="C64" s="67"/>
      <c r="D64" s="191">
        <f>D8+D38+D62+D63</f>
        <v>883900.6</v>
      </c>
      <c r="E64" s="191">
        <f>E8+E38+E62+E63</f>
        <v>524696.81</v>
      </c>
      <c r="F64" s="191">
        <f>F8+F38+F62+F63</f>
        <v>542213.72</v>
      </c>
      <c r="G64" s="191">
        <f>F64-E64</f>
        <v>17516.909999999916</v>
      </c>
      <c r="H64" s="192">
        <f>F64/E64*100</f>
        <v>103.3384822751257</v>
      </c>
      <c r="I64" s="193">
        <f>F64-D64</f>
        <v>-341686.88</v>
      </c>
      <c r="J64" s="193">
        <f>F64/D64*100</f>
        <v>61.34329131578822</v>
      </c>
      <c r="K64" s="193">
        <v>385611.99</v>
      </c>
      <c r="L64" s="193">
        <f>F64-K64</f>
        <v>156601.72999999998</v>
      </c>
      <c r="M64" s="273">
        <f>F64/K64</f>
        <v>1.4061121906505034</v>
      </c>
      <c r="N64" s="191">
        <f>N8+N38+N62+N63</f>
        <v>82950.80000000003</v>
      </c>
      <c r="O64" s="191">
        <f>O8+O38+O62+O63</f>
        <v>47427.71999999999</v>
      </c>
      <c r="P64" s="195">
        <f>O64-N64</f>
        <v>-35523.080000000045</v>
      </c>
      <c r="Q64" s="193">
        <f>O64/N64*100</f>
        <v>57.17572344088298</v>
      </c>
      <c r="R64" s="28">
        <f>O64-34768</f>
        <v>12659.719999999987</v>
      </c>
      <c r="S64" s="128">
        <f>O64/34768</f>
        <v>1.3641198803497465</v>
      </c>
      <c r="U64" s="147"/>
    </row>
    <row r="65" spans="1:19" s="53" customFormat="1" ht="17.25" hidden="1">
      <c r="A65" s="50"/>
      <c r="B65" s="60"/>
      <c r="C65" s="68"/>
      <c r="D65" s="51"/>
      <c r="E65" s="51"/>
      <c r="F65" s="88"/>
      <c r="G65" s="82"/>
      <c r="H65" s="52"/>
      <c r="I65" s="59"/>
      <c r="J65" s="39"/>
      <c r="K65" s="39"/>
      <c r="L65" s="39"/>
      <c r="M65" s="39"/>
      <c r="N65" s="52"/>
      <c r="O65" s="51"/>
      <c r="P65" s="85"/>
      <c r="Q65" s="39"/>
      <c r="R65" s="39"/>
      <c r="S65" s="102"/>
    </row>
    <row r="66" spans="1:19" s="53" customFormat="1" ht="17.25" hidden="1">
      <c r="A66" s="50"/>
      <c r="B66" s="61"/>
      <c r="C66" s="68"/>
      <c r="D66" s="62"/>
      <c r="E66" s="51"/>
      <c r="F66" s="88"/>
      <c r="G66" s="45"/>
      <c r="H66" s="52"/>
      <c r="I66" s="63"/>
      <c r="J66" s="39"/>
      <c r="K66" s="39"/>
      <c r="L66" s="39"/>
      <c r="M66" s="39"/>
      <c r="N66" s="32"/>
      <c r="O66" s="51"/>
      <c r="P66" s="64"/>
      <c r="Q66" s="39"/>
      <c r="R66" s="39"/>
      <c r="S66" s="102"/>
    </row>
    <row r="67" spans="1:19" s="53" customFormat="1" ht="17.25" hidden="1">
      <c r="A67" s="50"/>
      <c r="B67" s="61"/>
      <c r="C67" s="68"/>
      <c r="D67" s="62"/>
      <c r="E67" s="36"/>
      <c r="F67" s="121"/>
      <c r="G67" s="45"/>
      <c r="H67" s="52"/>
      <c r="I67" s="63"/>
      <c r="J67" s="39"/>
      <c r="K67" s="39"/>
      <c r="L67" s="39"/>
      <c r="M67" s="39"/>
      <c r="N67" s="32"/>
      <c r="O67" s="62"/>
      <c r="P67" s="85"/>
      <c r="Q67" s="39"/>
      <c r="R67" s="39"/>
      <c r="S67" s="102"/>
    </row>
    <row r="68" spans="2:19" ht="15">
      <c r="B68" s="22" t="s">
        <v>138</v>
      </c>
      <c r="C68" s="69"/>
      <c r="D68" s="25"/>
      <c r="E68" s="25"/>
      <c r="F68" s="175"/>
      <c r="G68" s="36"/>
      <c r="H68" s="32"/>
      <c r="I68" s="43"/>
      <c r="J68" s="43"/>
      <c r="K68" s="43"/>
      <c r="L68" s="43"/>
      <c r="M68" s="43"/>
      <c r="N68" s="33"/>
      <c r="O68" s="181"/>
      <c r="P68" s="40"/>
      <c r="Q68" s="43"/>
      <c r="R68" s="43"/>
      <c r="S68" s="103"/>
    </row>
    <row r="69" spans="2:19" ht="25.5" customHeight="1">
      <c r="B69" s="149" t="s">
        <v>112</v>
      </c>
      <c r="C69" s="150">
        <v>12020000</v>
      </c>
      <c r="D69" s="221">
        <v>0</v>
      </c>
      <c r="E69" s="221"/>
      <c r="F69" s="222">
        <v>0.01</v>
      </c>
      <c r="G69" s="202"/>
      <c r="H69" s="204"/>
      <c r="I69" s="207"/>
      <c r="J69" s="207"/>
      <c r="K69" s="207">
        <f>F69-0</f>
        <v>0.01</v>
      </c>
      <c r="L69" s="207">
        <f>F69-K69</f>
        <v>0</v>
      </c>
      <c r="M69" s="260">
        <f>F69/K69</f>
        <v>1</v>
      </c>
      <c r="N69" s="202"/>
      <c r="O69" s="223">
        <f>F69-червень!F68</f>
        <v>0</v>
      </c>
      <c r="P69" s="207"/>
      <c r="Q69" s="207"/>
      <c r="R69" s="43"/>
      <c r="S69" s="103"/>
    </row>
    <row r="70" spans="2:19" ht="31.5">
      <c r="B70" s="23" t="s">
        <v>63</v>
      </c>
      <c r="C70" s="78">
        <v>18041500</v>
      </c>
      <c r="D70" s="221">
        <v>0</v>
      </c>
      <c r="E70" s="221"/>
      <c r="F70" s="222">
        <v>-2.3</v>
      </c>
      <c r="G70" s="202">
        <f>F70-E70</f>
        <v>-2.3</v>
      </c>
      <c r="H70" s="204"/>
      <c r="I70" s="207">
        <f>F70-D70</f>
        <v>-2.3</v>
      </c>
      <c r="J70" s="207"/>
      <c r="K70" s="207">
        <v>-49.19</v>
      </c>
      <c r="L70" s="207">
        <f>F70-K70</f>
        <v>46.89</v>
      </c>
      <c r="M70" s="260">
        <f>F70/K70</f>
        <v>0.046757471030697294</v>
      </c>
      <c r="N70" s="204"/>
      <c r="O70" s="223">
        <f>F70-червень!F69</f>
        <v>0</v>
      </c>
      <c r="P70" s="207">
        <f>O70-N70</f>
        <v>0</v>
      </c>
      <c r="Q70" s="207"/>
      <c r="R70" s="43"/>
      <c r="S70" s="103"/>
    </row>
    <row r="71" spans="2:19" ht="17.25">
      <c r="B71" s="29" t="s">
        <v>46</v>
      </c>
      <c r="C71" s="79"/>
      <c r="D71" s="224">
        <f>D70</f>
        <v>0</v>
      </c>
      <c r="E71" s="224">
        <f>E70</f>
        <v>0</v>
      </c>
      <c r="F71" s="225">
        <f>SUM(F69:F70)</f>
        <v>-2.29</v>
      </c>
      <c r="G71" s="226">
        <f>F71-E71</f>
        <v>-2.29</v>
      </c>
      <c r="H71" s="227"/>
      <c r="I71" s="228">
        <f>F71-D71</f>
        <v>-2.29</v>
      </c>
      <c r="J71" s="228"/>
      <c r="K71" s="228">
        <v>-49.19</v>
      </c>
      <c r="L71" s="228">
        <f>F71-K71</f>
        <v>46.9</v>
      </c>
      <c r="M71" s="266">
        <f>F71/K71</f>
        <v>0.04655417767838992</v>
      </c>
      <c r="N71" s="226">
        <f>N70</f>
        <v>0</v>
      </c>
      <c r="O71" s="229">
        <f>SUM(O69:O70)</f>
        <v>0</v>
      </c>
      <c r="P71" s="228">
        <f>O71-N71</f>
        <v>0</v>
      </c>
      <c r="Q71" s="228"/>
      <c r="R71" s="44"/>
      <c r="S71" s="104"/>
    </row>
    <row r="72" spans="2:19" ht="46.5" hidden="1">
      <c r="B72" s="23" t="s">
        <v>38</v>
      </c>
      <c r="C72" s="79">
        <v>21110000</v>
      </c>
      <c r="D72" s="221">
        <v>0</v>
      </c>
      <c r="E72" s="221"/>
      <c r="F72" s="222">
        <v>0</v>
      </c>
      <c r="G72" s="202" t="e">
        <f>#N/A</f>
        <v>#N/A</v>
      </c>
      <c r="H72" s="204" t="e">
        <f>F72/E72*100</f>
        <v>#DIV/0!</v>
      </c>
      <c r="I72" s="207" t="e">
        <f>#N/A</f>
        <v>#N/A</v>
      </c>
      <c r="J72" s="207" t="e">
        <f>#N/A</f>
        <v>#N/A</v>
      </c>
      <c r="K72" s="207"/>
      <c r="L72" s="207"/>
      <c r="M72" s="207"/>
      <c r="N72" s="202">
        <v>0</v>
      </c>
      <c r="O72" s="223">
        <f>F72</f>
        <v>0</v>
      </c>
      <c r="P72" s="207" t="e">
        <f>#N/A</f>
        <v>#N/A</v>
      </c>
      <c r="Q72" s="207"/>
      <c r="R72" s="43"/>
      <c r="S72" s="103"/>
    </row>
    <row r="73" spans="2:19" ht="31.5">
      <c r="B73" s="23" t="s">
        <v>30</v>
      </c>
      <c r="C73" s="78">
        <v>31030000</v>
      </c>
      <c r="D73" s="221">
        <v>4200</v>
      </c>
      <c r="E73" s="221">
        <v>1800</v>
      </c>
      <c r="F73" s="222">
        <v>1042.09</v>
      </c>
      <c r="G73" s="202">
        <f aca="true" t="shared" si="25" ref="G73:G83">F73-E73</f>
        <v>-757.9100000000001</v>
      </c>
      <c r="H73" s="204"/>
      <c r="I73" s="207">
        <f aca="true" t="shared" si="26" ref="I73:I83">F73-D73</f>
        <v>-3157.91</v>
      </c>
      <c r="J73" s="207">
        <f>F73/D73*100</f>
        <v>24.811666666666664</v>
      </c>
      <c r="K73" s="207">
        <v>592.98</v>
      </c>
      <c r="L73" s="207">
        <f aca="true" t="shared" si="27" ref="L73:L83">F73-K73</f>
        <v>449.1099999999999</v>
      </c>
      <c r="M73" s="260">
        <f>F73/K73</f>
        <v>1.7573779891395997</v>
      </c>
      <c r="N73" s="204">
        <f>E73-червень!E72</f>
        <v>387</v>
      </c>
      <c r="O73" s="208">
        <f>F73-червень!F72</f>
        <v>0.06999999999993634</v>
      </c>
      <c r="P73" s="207">
        <f aca="true" t="shared" si="28" ref="P73:P86">O73-N73</f>
        <v>-386.93000000000006</v>
      </c>
      <c r="Q73" s="207">
        <f>O73/N73*100</f>
        <v>0.018087855297141173</v>
      </c>
      <c r="R73" s="43"/>
      <c r="S73" s="103"/>
    </row>
    <row r="74" spans="2:19" ht="18">
      <c r="B74" s="23" t="s">
        <v>31</v>
      </c>
      <c r="C74" s="78">
        <v>33010000</v>
      </c>
      <c r="D74" s="221">
        <v>7459</v>
      </c>
      <c r="E74" s="221">
        <v>3327.31</v>
      </c>
      <c r="F74" s="222">
        <v>1380</v>
      </c>
      <c r="G74" s="202">
        <f t="shared" si="25"/>
        <v>-1947.31</v>
      </c>
      <c r="H74" s="204">
        <f>F74/E74*100</f>
        <v>41.47494522602342</v>
      </c>
      <c r="I74" s="207">
        <f t="shared" si="26"/>
        <v>-6079</v>
      </c>
      <c r="J74" s="207">
        <f>F74/D74*100</f>
        <v>18.501139562944093</v>
      </c>
      <c r="K74" s="207">
        <v>3579.75</v>
      </c>
      <c r="L74" s="207">
        <f t="shared" si="27"/>
        <v>-2199.75</v>
      </c>
      <c r="M74" s="260">
        <f>F74/K74</f>
        <v>0.38550178085061804</v>
      </c>
      <c r="N74" s="204">
        <f>E74-червень!E73</f>
        <v>1093.6</v>
      </c>
      <c r="O74" s="208">
        <f>F74-червень!F73</f>
        <v>443.96000000000004</v>
      </c>
      <c r="P74" s="207">
        <f t="shared" si="28"/>
        <v>-649.6399999999999</v>
      </c>
      <c r="Q74" s="207">
        <f>O74/N74*100</f>
        <v>40.59619604974397</v>
      </c>
      <c r="R74" s="43"/>
      <c r="S74" s="103"/>
    </row>
    <row r="75" spans="2:19" ht="31.5">
      <c r="B75" s="23" t="s">
        <v>55</v>
      </c>
      <c r="C75" s="78">
        <v>24170000</v>
      </c>
      <c r="D75" s="221">
        <v>6000</v>
      </c>
      <c r="E75" s="221">
        <v>2094.85</v>
      </c>
      <c r="F75" s="222">
        <v>9389.14</v>
      </c>
      <c r="G75" s="202">
        <f t="shared" si="25"/>
        <v>7294.289999999999</v>
      </c>
      <c r="H75" s="204">
        <f>F75/E75*100</f>
        <v>448.20106451535906</v>
      </c>
      <c r="I75" s="207">
        <f t="shared" si="26"/>
        <v>3389.1399999999994</v>
      </c>
      <c r="J75" s="207">
        <f>F75/D75*100</f>
        <v>156.48566666666665</v>
      </c>
      <c r="K75" s="207">
        <v>1818.64</v>
      </c>
      <c r="L75" s="207">
        <f t="shared" si="27"/>
        <v>7570.499999999999</v>
      </c>
      <c r="M75" s="260">
        <f>F75/K75</f>
        <v>5.162725993049751</v>
      </c>
      <c r="N75" s="204">
        <f>E75-червень!E74</f>
        <v>302</v>
      </c>
      <c r="O75" s="208">
        <f>F75-червень!F74</f>
        <v>14.6299999999992</v>
      </c>
      <c r="P75" s="207">
        <f t="shared" si="28"/>
        <v>-287.3700000000008</v>
      </c>
      <c r="Q75" s="207">
        <f>O75/N75*100</f>
        <v>4.844370860926888</v>
      </c>
      <c r="R75" s="43"/>
      <c r="S75" s="103"/>
    </row>
    <row r="76" spans="2:19" ht="18">
      <c r="B76" s="23" t="s">
        <v>113</v>
      </c>
      <c r="C76" s="78">
        <v>24110700</v>
      </c>
      <c r="D76" s="221">
        <v>12</v>
      </c>
      <c r="E76" s="221">
        <v>7</v>
      </c>
      <c r="F76" s="222">
        <v>6</v>
      </c>
      <c r="G76" s="202">
        <f t="shared" si="25"/>
        <v>-1</v>
      </c>
      <c r="H76" s="204">
        <f>F76/E76*100</f>
        <v>85.71428571428571</v>
      </c>
      <c r="I76" s="207">
        <f t="shared" si="26"/>
        <v>-6</v>
      </c>
      <c r="J76" s="207">
        <f>F76/D76*100</f>
        <v>50</v>
      </c>
      <c r="K76" s="207">
        <v>0</v>
      </c>
      <c r="L76" s="207">
        <f t="shared" si="27"/>
        <v>6</v>
      </c>
      <c r="M76" s="260"/>
      <c r="N76" s="204">
        <f>E76-червень!E75</f>
        <v>1</v>
      </c>
      <c r="O76" s="208">
        <f>F76-червень!F75</f>
        <v>0</v>
      </c>
      <c r="P76" s="207">
        <f t="shared" si="28"/>
        <v>-1</v>
      </c>
      <c r="Q76" s="207">
        <f>O76/N76*100</f>
        <v>0</v>
      </c>
      <c r="R76" s="43"/>
      <c r="S76" s="151"/>
    </row>
    <row r="77" spans="2:19" ht="33">
      <c r="B77" s="29" t="s">
        <v>52</v>
      </c>
      <c r="C77" s="70"/>
      <c r="D77" s="224">
        <f>D73+D74+D75+D76</f>
        <v>17671</v>
      </c>
      <c r="E77" s="224">
        <f>E73+E74+E75+E76</f>
        <v>7229.16</v>
      </c>
      <c r="F77" s="225">
        <f>F73+F74+F75+F76</f>
        <v>11817.23</v>
      </c>
      <c r="G77" s="226">
        <f t="shared" si="25"/>
        <v>4588.07</v>
      </c>
      <c r="H77" s="227">
        <f>F77/E77*100</f>
        <v>163.4661565105766</v>
      </c>
      <c r="I77" s="228">
        <f t="shared" si="26"/>
        <v>-5853.77</v>
      </c>
      <c r="J77" s="228">
        <f>F77/D77*100</f>
        <v>66.87357817893724</v>
      </c>
      <c r="K77" s="228">
        <v>5991.37</v>
      </c>
      <c r="L77" s="228">
        <f t="shared" si="27"/>
        <v>5825.86</v>
      </c>
      <c r="M77" s="266">
        <f>F77/K77</f>
        <v>1.9723752664248744</v>
      </c>
      <c r="N77" s="226">
        <f>N73+N74+N75+N76</f>
        <v>1783.6</v>
      </c>
      <c r="O77" s="230">
        <f>O73+O74+O75+O76</f>
        <v>458.6599999999992</v>
      </c>
      <c r="P77" s="228">
        <f t="shared" si="28"/>
        <v>-1324.9400000000007</v>
      </c>
      <c r="Q77" s="228">
        <f>O77/N77*100</f>
        <v>25.71540704193761</v>
      </c>
      <c r="R77" s="44"/>
      <c r="S77" s="129"/>
    </row>
    <row r="78" spans="2:19" ht="46.5">
      <c r="B78" s="12" t="s">
        <v>41</v>
      </c>
      <c r="C78" s="80">
        <v>24062100</v>
      </c>
      <c r="D78" s="221">
        <v>1</v>
      </c>
      <c r="E78" s="221">
        <v>0</v>
      </c>
      <c r="F78" s="222">
        <v>5.21</v>
      </c>
      <c r="G78" s="202">
        <f t="shared" si="25"/>
        <v>5.21</v>
      </c>
      <c r="H78" s="204"/>
      <c r="I78" s="207">
        <f t="shared" si="26"/>
        <v>4.21</v>
      </c>
      <c r="J78" s="207"/>
      <c r="K78" s="207">
        <v>0.09</v>
      </c>
      <c r="L78" s="207">
        <f t="shared" si="27"/>
        <v>5.12</v>
      </c>
      <c r="M78" s="260">
        <f>F78/K78</f>
        <v>57.88888888888889</v>
      </c>
      <c r="N78" s="204">
        <f>E78-червень!E77</f>
        <v>0</v>
      </c>
      <c r="O78" s="208">
        <f>F78-червень!F77</f>
        <v>0.019999999999999574</v>
      </c>
      <c r="P78" s="207">
        <f t="shared" si="28"/>
        <v>0.019999999999999574</v>
      </c>
      <c r="Q78" s="207"/>
      <c r="R78" s="43"/>
      <c r="S78" s="103"/>
    </row>
    <row r="79" spans="2:19" ht="18" hidden="1">
      <c r="B79" s="23" t="s">
        <v>53</v>
      </c>
      <c r="C79" s="78">
        <v>24061600</v>
      </c>
      <c r="D79" s="221">
        <v>0</v>
      </c>
      <c r="E79" s="221">
        <v>0</v>
      </c>
      <c r="F79" s="222">
        <v>0</v>
      </c>
      <c r="G79" s="202">
        <f t="shared" si="25"/>
        <v>0</v>
      </c>
      <c r="H79" s="204"/>
      <c r="I79" s="207">
        <f t="shared" si="26"/>
        <v>0</v>
      </c>
      <c r="J79" s="231"/>
      <c r="K79" s="207">
        <f>F79-0</f>
        <v>0</v>
      </c>
      <c r="L79" s="207">
        <f t="shared" si="27"/>
        <v>0</v>
      </c>
      <c r="M79" s="260" t="e">
        <f>F79/K79</f>
        <v>#DIV/0!</v>
      </c>
      <c r="N79" s="204">
        <f>E79-червень!E78</f>
        <v>0</v>
      </c>
      <c r="O79" s="208">
        <f>F79-червень!F78</f>
        <v>0</v>
      </c>
      <c r="P79" s="207">
        <f t="shared" si="28"/>
        <v>0</v>
      </c>
      <c r="Q79" s="231"/>
      <c r="R79" s="46"/>
      <c r="S79" s="105"/>
    </row>
    <row r="80" spans="2:19" ht="18">
      <c r="B80" s="23" t="s">
        <v>47</v>
      </c>
      <c r="C80" s="78">
        <v>19010000</v>
      </c>
      <c r="D80" s="221">
        <v>9500</v>
      </c>
      <c r="E80" s="221">
        <v>5127.3</v>
      </c>
      <c r="F80" s="222">
        <v>4896.16</v>
      </c>
      <c r="G80" s="202">
        <f t="shared" si="25"/>
        <v>-231.14000000000033</v>
      </c>
      <c r="H80" s="204">
        <f>F80/E80*100</f>
        <v>95.49197433346986</v>
      </c>
      <c r="I80" s="207">
        <f t="shared" si="26"/>
        <v>-4603.84</v>
      </c>
      <c r="J80" s="207">
        <f>F80/D80*100</f>
        <v>51.53852631578947</v>
      </c>
      <c r="K80" s="207">
        <v>0</v>
      </c>
      <c r="L80" s="207">
        <f t="shared" si="27"/>
        <v>4896.16</v>
      </c>
      <c r="M80" s="260"/>
      <c r="N80" s="204">
        <f>E80-червень!E79</f>
        <v>10</v>
      </c>
      <c r="O80" s="208">
        <f>F80-червень!F79</f>
        <v>5.720000000000255</v>
      </c>
      <c r="P80" s="207">
        <f>O80-N80</f>
        <v>-4.279999999999745</v>
      </c>
      <c r="Q80" s="231">
        <f>O80/N80*100</f>
        <v>57.20000000000255</v>
      </c>
      <c r="R80" s="46"/>
      <c r="S80" s="105"/>
    </row>
    <row r="81" spans="2:19" ht="31.5">
      <c r="B81" s="23" t="s">
        <v>51</v>
      </c>
      <c r="C81" s="78">
        <v>19050000</v>
      </c>
      <c r="D81" s="221">
        <v>0</v>
      </c>
      <c r="E81" s="221"/>
      <c r="F81" s="222">
        <v>0.81</v>
      </c>
      <c r="G81" s="202">
        <f t="shared" si="25"/>
        <v>0.81</v>
      </c>
      <c r="H81" s="204"/>
      <c r="I81" s="207">
        <f t="shared" si="26"/>
        <v>0.81</v>
      </c>
      <c r="J81" s="207"/>
      <c r="K81" s="207">
        <v>0.72</v>
      </c>
      <c r="L81" s="207">
        <f t="shared" si="27"/>
        <v>0.09000000000000008</v>
      </c>
      <c r="M81" s="260">
        <f>F81/K81</f>
        <v>1.1250000000000002</v>
      </c>
      <c r="N81" s="204">
        <f>E81-червень!E80</f>
        <v>0</v>
      </c>
      <c r="O81" s="208">
        <f>F81-червень!F80</f>
        <v>0</v>
      </c>
      <c r="P81" s="207">
        <f t="shared" si="28"/>
        <v>0</v>
      </c>
      <c r="Q81" s="207"/>
      <c r="R81" s="43"/>
      <c r="S81" s="103"/>
    </row>
    <row r="82" spans="2:19" ht="30">
      <c r="B82" s="29" t="s">
        <v>48</v>
      </c>
      <c r="C82" s="78"/>
      <c r="D82" s="224">
        <f>D78+D81+D79+D80</f>
        <v>9501</v>
      </c>
      <c r="E82" s="224">
        <f>E78+E81+E79+E80</f>
        <v>5127.3</v>
      </c>
      <c r="F82" s="225">
        <f>F78+F81+F79+F80</f>
        <v>4902.18</v>
      </c>
      <c r="G82" s="224">
        <f>G78+G81+G79+G80</f>
        <v>-225.12000000000032</v>
      </c>
      <c r="H82" s="227">
        <f>F82/E82*100</f>
        <v>95.60938505646247</v>
      </c>
      <c r="I82" s="228">
        <f t="shared" si="26"/>
        <v>-4598.82</v>
      </c>
      <c r="J82" s="228">
        <f>F82/D82*100</f>
        <v>51.59646353015472</v>
      </c>
      <c r="K82" s="228">
        <v>0.83</v>
      </c>
      <c r="L82" s="228">
        <f t="shared" si="27"/>
        <v>4901.35</v>
      </c>
      <c r="M82" s="274">
        <f>F82/K82</f>
        <v>5906.240963855423</v>
      </c>
      <c r="N82" s="226">
        <f>N78+N81+N79+N80</f>
        <v>10</v>
      </c>
      <c r="O82" s="230">
        <f>O78+O81+O79+O80</f>
        <v>5.740000000000254</v>
      </c>
      <c r="P82" s="226">
        <f>P78+P81+P79+P80</f>
        <v>-4.259999999999746</v>
      </c>
      <c r="Q82" s="228">
        <f>O82/N82*100</f>
        <v>57.400000000002535</v>
      </c>
      <c r="R82" s="44"/>
      <c r="S82" s="102"/>
    </row>
    <row r="83" spans="2:19" ht="30.75">
      <c r="B83" s="12" t="s">
        <v>42</v>
      </c>
      <c r="C83" s="48">
        <v>24110900</v>
      </c>
      <c r="D83" s="221">
        <v>43</v>
      </c>
      <c r="E83" s="221">
        <v>20.3</v>
      </c>
      <c r="F83" s="222">
        <v>18.45</v>
      </c>
      <c r="G83" s="202">
        <f t="shared" si="25"/>
        <v>-1.8500000000000014</v>
      </c>
      <c r="H83" s="204">
        <f>F83/E83*100</f>
        <v>90.88669950738915</v>
      </c>
      <c r="I83" s="207">
        <f t="shared" si="26"/>
        <v>-24.55</v>
      </c>
      <c r="J83" s="207">
        <f>F83/D83*100</f>
        <v>42.90697674418604</v>
      </c>
      <c r="K83" s="207">
        <v>20.55</v>
      </c>
      <c r="L83" s="207">
        <f t="shared" si="27"/>
        <v>-2.1000000000000014</v>
      </c>
      <c r="M83" s="260">
        <f>F83/K83</f>
        <v>0.8978102189781021</v>
      </c>
      <c r="N83" s="204">
        <f>E83-червень!E82</f>
        <v>0.6000000000000014</v>
      </c>
      <c r="O83" s="208">
        <f>F83-червень!F82</f>
        <v>0.1999999999999993</v>
      </c>
      <c r="P83" s="207">
        <f t="shared" si="28"/>
        <v>-0.40000000000000213</v>
      </c>
      <c r="Q83" s="207">
        <f>O83/N83</f>
        <v>0.33333333333333137</v>
      </c>
      <c r="R83" s="43"/>
      <c r="S83" s="103"/>
    </row>
    <row r="84" spans="2:19" ht="18" hidden="1">
      <c r="B84" s="137"/>
      <c r="C84" s="48"/>
      <c r="D84" s="221"/>
      <c r="E84" s="221"/>
      <c r="F84" s="222"/>
      <c r="G84" s="202"/>
      <c r="H84" s="204"/>
      <c r="I84" s="207"/>
      <c r="J84" s="207"/>
      <c r="K84" s="207">
        <f>F84-0</f>
        <v>0</v>
      </c>
      <c r="L84" s="207"/>
      <c r="M84" s="207"/>
      <c r="N84" s="204">
        <f>E84-лютий!E78</f>
        <v>0</v>
      </c>
      <c r="O84" s="208">
        <f>F84-лютий!F78</f>
        <v>0</v>
      </c>
      <c r="P84" s="207">
        <f t="shared" si="28"/>
        <v>0</v>
      </c>
      <c r="Q84" s="207"/>
      <c r="R84" s="43"/>
      <c r="S84" s="103"/>
    </row>
    <row r="85" spans="2:19" ht="23.25" customHeight="1">
      <c r="B85" s="14" t="s">
        <v>32</v>
      </c>
      <c r="C85" s="71"/>
      <c r="D85" s="232">
        <f>D71+D83+D77+D82</f>
        <v>27215</v>
      </c>
      <c r="E85" s="232">
        <f>E71+E83+E77+E82</f>
        <v>12376.76</v>
      </c>
      <c r="F85" s="232">
        <f>F71+F83+F77+F82+F84</f>
        <v>16735.57</v>
      </c>
      <c r="G85" s="233">
        <f>F85-E85</f>
        <v>4358.8099999999995</v>
      </c>
      <c r="H85" s="234">
        <f>F85/E85*100</f>
        <v>135.21769833138882</v>
      </c>
      <c r="I85" s="235">
        <f>F85-D85</f>
        <v>-10479.43</v>
      </c>
      <c r="J85" s="235">
        <f>F85/D85*100</f>
        <v>61.49391879478229</v>
      </c>
      <c r="K85" s="235">
        <v>5963.75</v>
      </c>
      <c r="L85" s="235">
        <f>F85-K85</f>
        <v>10771.82</v>
      </c>
      <c r="M85" s="275">
        <f>F85/K85</f>
        <v>2.8062158876545795</v>
      </c>
      <c r="N85" s="232">
        <f>N71+N83+N77+N82</f>
        <v>1794.1999999999998</v>
      </c>
      <c r="O85" s="232">
        <f>O71+O83+O77+O82+O84</f>
        <v>464.5999999999994</v>
      </c>
      <c r="P85" s="235">
        <f t="shared" si="28"/>
        <v>-1329.6000000000004</v>
      </c>
      <c r="Q85" s="235">
        <f>O85/N85*100</f>
        <v>25.89454910266411</v>
      </c>
      <c r="R85" s="28">
        <f>O85-8104.96</f>
        <v>-7640.360000000001</v>
      </c>
      <c r="S85" s="101">
        <f>O85/8104.96</f>
        <v>0.057322923246999294</v>
      </c>
    </row>
    <row r="86" spans="2:19" ht="17.25">
      <c r="B86" s="21" t="s">
        <v>33</v>
      </c>
      <c r="C86" s="71"/>
      <c r="D86" s="232">
        <f>D64+D85</f>
        <v>911115.6</v>
      </c>
      <c r="E86" s="232">
        <f>E64+E85</f>
        <v>537073.5700000001</v>
      </c>
      <c r="F86" s="232">
        <f>F64+F85</f>
        <v>558949.2899999999</v>
      </c>
      <c r="G86" s="233">
        <f>F86-E86</f>
        <v>21875.719999999856</v>
      </c>
      <c r="H86" s="234">
        <f>F86/E86*100</f>
        <v>104.07313284844753</v>
      </c>
      <c r="I86" s="235">
        <f>F86-D86</f>
        <v>-352166.31000000006</v>
      </c>
      <c r="J86" s="235">
        <f>F86/D86*100</f>
        <v>61.347790554788</v>
      </c>
      <c r="K86" s="235">
        <f>K64+K85</f>
        <v>391575.74</v>
      </c>
      <c r="L86" s="235">
        <f>F86-K86</f>
        <v>167373.54999999993</v>
      </c>
      <c r="M86" s="275">
        <f>F86/K86</f>
        <v>1.4274359540251393</v>
      </c>
      <c r="N86" s="233">
        <f>N64+N85</f>
        <v>84745.00000000003</v>
      </c>
      <c r="O86" s="233">
        <f>O64+O85</f>
        <v>47892.319999999985</v>
      </c>
      <c r="P86" s="235">
        <f t="shared" si="28"/>
        <v>-36852.680000000044</v>
      </c>
      <c r="Q86" s="235">
        <f>O86/N86*100</f>
        <v>56.513446221015954</v>
      </c>
      <c r="R86" s="28">
        <f>O86-42872.96</f>
        <v>5019.359999999986</v>
      </c>
      <c r="S86" s="101">
        <f>O86/42872.96</f>
        <v>1.1170751914493422</v>
      </c>
    </row>
    <row r="87" spans="2:15" ht="15">
      <c r="B87" s="20" t="s">
        <v>35</v>
      </c>
      <c r="O87" s="26"/>
    </row>
    <row r="88" spans="2:15" ht="15">
      <c r="B88" s="4" t="s">
        <v>37</v>
      </c>
      <c r="C88" s="81">
        <v>5</v>
      </c>
      <c r="D88" s="4" t="s">
        <v>36</v>
      </c>
      <c r="O88" s="83"/>
    </row>
    <row r="89" spans="2:18" ht="30.75">
      <c r="B89" s="57" t="s">
        <v>54</v>
      </c>
      <c r="C89" s="31">
        <f>IF(P64&lt;0,ABS(P64/C88),0)</f>
        <v>7104.616000000009</v>
      </c>
      <c r="D89" s="4" t="s">
        <v>24</v>
      </c>
      <c r="G89" s="294"/>
      <c r="H89" s="294"/>
      <c r="I89" s="294"/>
      <c r="J89" s="294"/>
      <c r="K89" s="90"/>
      <c r="L89" s="90"/>
      <c r="M89" s="90"/>
      <c r="Q89" s="26"/>
      <c r="R89" s="26"/>
    </row>
    <row r="90" spans="2:16" ht="34.5" customHeight="1">
      <c r="B90" s="58" t="s">
        <v>56</v>
      </c>
      <c r="C90" s="87">
        <v>42573</v>
      </c>
      <c r="D90" s="31">
        <v>5578.7</v>
      </c>
      <c r="G90" s="4" t="s">
        <v>59</v>
      </c>
      <c r="O90" s="286"/>
      <c r="P90" s="286"/>
    </row>
    <row r="91" spans="3:16" ht="15">
      <c r="C91" s="87">
        <v>42572</v>
      </c>
      <c r="D91" s="31">
        <v>4818.2</v>
      </c>
      <c r="F91" s="124" t="s">
        <v>59</v>
      </c>
      <c r="G91" s="280"/>
      <c r="H91" s="280"/>
      <c r="I91" s="131"/>
      <c r="J91" s="283"/>
      <c r="K91" s="283"/>
      <c r="L91" s="283"/>
      <c r="M91" s="283"/>
      <c r="N91" s="283"/>
      <c r="O91" s="286"/>
      <c r="P91" s="286"/>
    </row>
    <row r="92" spans="3:16" ht="15.75" customHeight="1">
      <c r="C92" s="87">
        <v>42571</v>
      </c>
      <c r="D92" s="31">
        <v>3996.6</v>
      </c>
      <c r="F92" s="73"/>
      <c r="G92" s="280"/>
      <c r="H92" s="280"/>
      <c r="I92" s="131"/>
      <c r="J92" s="287"/>
      <c r="K92" s="287"/>
      <c r="L92" s="287"/>
      <c r="M92" s="287"/>
      <c r="N92" s="287"/>
      <c r="O92" s="286"/>
      <c r="P92" s="286"/>
    </row>
    <row r="93" spans="3:14" ht="15.75" customHeight="1">
      <c r="C93" s="87"/>
      <c r="F93" s="73"/>
      <c r="G93" s="282"/>
      <c r="H93" s="282"/>
      <c r="I93" s="139"/>
      <c r="J93" s="283"/>
      <c r="K93" s="283"/>
      <c r="L93" s="283"/>
      <c r="M93" s="283"/>
      <c r="N93" s="283"/>
    </row>
    <row r="94" spans="2:14" ht="18.75" customHeight="1">
      <c r="B94" s="284" t="s">
        <v>57</v>
      </c>
      <c r="C94" s="285"/>
      <c r="D94" s="148">
        <v>1960.63324</v>
      </c>
      <c r="E94" s="74"/>
      <c r="F94" s="140" t="s">
        <v>137</v>
      </c>
      <c r="G94" s="280"/>
      <c r="H94" s="280"/>
      <c r="I94" s="141"/>
      <c r="J94" s="283"/>
      <c r="K94" s="283"/>
      <c r="L94" s="283"/>
      <c r="M94" s="283"/>
      <c r="N94" s="283"/>
    </row>
    <row r="95" spans="6:13" ht="9.75" customHeight="1">
      <c r="F95" s="73"/>
      <c r="G95" s="280"/>
      <c r="H95" s="280"/>
      <c r="I95" s="73"/>
      <c r="J95" s="74"/>
      <c r="K95" s="74"/>
      <c r="L95" s="74"/>
      <c r="M95" s="74"/>
    </row>
    <row r="96" spans="2:13" ht="22.5" customHeight="1" hidden="1">
      <c r="B96" s="278" t="s">
        <v>60</v>
      </c>
      <c r="C96" s="279"/>
      <c r="D96" s="86">
        <v>0</v>
      </c>
      <c r="E96" s="56" t="s">
        <v>24</v>
      </c>
      <c r="F96" s="73"/>
      <c r="G96" s="280"/>
      <c r="H96" s="280"/>
      <c r="I96" s="73"/>
      <c r="J96" s="74"/>
      <c r="K96" s="74"/>
      <c r="L96" s="74"/>
      <c r="M96" s="74"/>
    </row>
    <row r="97" spans="4:16" ht="15" hidden="1">
      <c r="D97" s="73">
        <f>D45+D48+D49</f>
        <v>1640</v>
      </c>
      <c r="E97" s="73">
        <f>E45+E48+E49</f>
        <v>852</v>
      </c>
      <c r="F97" s="247">
        <f>F45+F48+F49</f>
        <v>346.69</v>
      </c>
      <c r="G97" s="73">
        <f>G45+G48+G49</f>
        <v>-505.31</v>
      </c>
      <c r="H97" s="74"/>
      <c r="I97" s="74"/>
      <c r="N97" s="31">
        <f>N45+N48+N49</f>
        <v>142</v>
      </c>
      <c r="O97" s="246">
        <f>O45+O48+O49</f>
        <v>101.14999999999999</v>
      </c>
      <c r="P97" s="31">
        <f>P45+P48+P49</f>
        <v>-40.85000000000001</v>
      </c>
    </row>
    <row r="98" spans="4:16" ht="15">
      <c r="D98" s="83"/>
      <c r="I98" s="31"/>
      <c r="O98" s="281"/>
      <c r="P98" s="281"/>
    </row>
    <row r="99" spans="15:16" ht="15">
      <c r="O99" s="280"/>
      <c r="P99" s="280"/>
    </row>
    <row r="100" ht="15">
      <c r="O100" s="31"/>
    </row>
    <row r="103" ht="15">
      <c r="E103" s="4" t="s">
        <v>59</v>
      </c>
    </row>
  </sheetData>
  <sheetProtection/>
  <mergeCells count="38"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  <mergeCell ref="F4:F5"/>
    <mergeCell ref="G4:G5"/>
    <mergeCell ref="H4:H5"/>
    <mergeCell ref="I4:I5"/>
    <mergeCell ref="J4:J5"/>
    <mergeCell ref="O4:O5"/>
    <mergeCell ref="P4:P5"/>
    <mergeCell ref="Q4:Q5"/>
    <mergeCell ref="K5:M5"/>
    <mergeCell ref="R5:S5"/>
    <mergeCell ref="G89:J89"/>
    <mergeCell ref="O90:P90"/>
    <mergeCell ref="G91:H91"/>
    <mergeCell ref="J91:N91"/>
    <mergeCell ref="O91:P91"/>
    <mergeCell ref="G92:H92"/>
    <mergeCell ref="J92:N92"/>
    <mergeCell ref="O92:P92"/>
    <mergeCell ref="B96:C96"/>
    <mergeCell ref="G96:H96"/>
    <mergeCell ref="O98:P98"/>
    <mergeCell ref="O99:P99"/>
    <mergeCell ref="G93:H93"/>
    <mergeCell ref="J93:N93"/>
    <mergeCell ref="B94:C94"/>
    <mergeCell ref="G94:H94"/>
    <mergeCell ref="J94:N94"/>
    <mergeCell ref="G95:H95"/>
  </mergeCells>
  <printOptions/>
  <pageMargins left="0.1968503937007874" right="0.1968503937007874" top="0.1968503937007874" bottom="0.1968503937007874" header="0.1968503937007874" footer="0.1968503937007874"/>
  <pageSetup fitToHeight="2" fitToWidth="1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2"/>
  <sheetViews>
    <sheetView zoomScale="81" zoomScaleNormal="81" zoomScalePageLayoutView="0" workbookViewId="0" topLeftCell="B1">
      <pane xSplit="2" ySplit="8" topLeftCell="D4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A1" sqref="A1:P1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3.1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3" width="12.00390625" style="4" customWidth="1"/>
    <col min="14" max="14" width="11.00390625" style="4" customWidth="1"/>
    <col min="15" max="15" width="12.625" style="4" customWidth="1"/>
    <col min="16" max="16" width="11.00390625" style="4" customWidth="1"/>
    <col min="17" max="17" width="11.00390625" style="4" hidden="1" customWidth="1"/>
    <col min="18" max="18" width="11.00390625" style="95" hidden="1" customWidth="1"/>
    <col min="19" max="19" width="9.125" style="4" customWidth="1"/>
    <col min="20" max="20" width="11.50390625" style="4" customWidth="1"/>
    <col min="21" max="16384" width="9.125" style="4" customWidth="1"/>
  </cols>
  <sheetData>
    <row r="1" spans="1:18" s="1" customFormat="1" ht="26.25" customHeight="1">
      <c r="A1" s="301" t="s">
        <v>177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301"/>
      <c r="O1" s="301"/>
      <c r="P1" s="301"/>
      <c r="Q1" s="92"/>
      <c r="R1" s="93"/>
    </row>
    <row r="2" spans="2:18" s="1" customFormat="1" ht="21" customHeight="1">
      <c r="B2" s="248"/>
      <c r="C2" s="248"/>
      <c r="D2" s="248"/>
      <c r="E2" s="249"/>
      <c r="F2" s="250"/>
      <c r="G2" s="249"/>
      <c r="H2" s="249"/>
      <c r="I2" s="251"/>
      <c r="J2" s="249"/>
      <c r="M2" s="1" t="s">
        <v>176</v>
      </c>
      <c r="P2" s="17" t="s">
        <v>24</v>
      </c>
      <c r="Q2" s="17"/>
      <c r="R2" s="94"/>
    </row>
    <row r="3" spans="1:18" s="3" customFormat="1" ht="13.5" customHeight="1">
      <c r="A3" s="303"/>
      <c r="B3" s="305"/>
      <c r="C3" s="306" t="s">
        <v>0</v>
      </c>
      <c r="D3" s="307" t="s">
        <v>121</v>
      </c>
      <c r="E3" s="34"/>
      <c r="F3" s="308" t="s">
        <v>26</v>
      </c>
      <c r="G3" s="309"/>
      <c r="H3" s="309"/>
      <c r="I3" s="309"/>
      <c r="J3" s="310"/>
      <c r="K3" s="89"/>
      <c r="L3" s="89"/>
      <c r="M3" s="311" t="s">
        <v>172</v>
      </c>
      <c r="N3" s="312" t="s">
        <v>173</v>
      </c>
      <c r="O3" s="312"/>
      <c r="P3" s="312"/>
      <c r="Q3" s="312"/>
      <c r="R3" s="312"/>
    </row>
    <row r="4" spans="1:18" ht="22.5" customHeight="1">
      <c r="A4" s="303"/>
      <c r="B4" s="305"/>
      <c r="C4" s="306"/>
      <c r="D4" s="307"/>
      <c r="E4" s="313" t="s">
        <v>170</v>
      </c>
      <c r="F4" s="315" t="s">
        <v>34</v>
      </c>
      <c r="G4" s="288" t="s">
        <v>171</v>
      </c>
      <c r="H4" s="297" t="s">
        <v>175</v>
      </c>
      <c r="I4" s="288" t="s">
        <v>122</v>
      </c>
      <c r="J4" s="297" t="s">
        <v>123</v>
      </c>
      <c r="K4" s="91" t="s">
        <v>65</v>
      </c>
      <c r="L4" s="96" t="s">
        <v>64</v>
      </c>
      <c r="M4" s="297"/>
      <c r="N4" s="299" t="s">
        <v>178</v>
      </c>
      <c r="O4" s="288" t="s">
        <v>50</v>
      </c>
      <c r="P4" s="290" t="s">
        <v>49</v>
      </c>
      <c r="Q4" s="97" t="s">
        <v>65</v>
      </c>
      <c r="R4" s="98" t="s">
        <v>64</v>
      </c>
    </row>
    <row r="5" spans="1:18" ht="67.5" customHeight="1">
      <c r="A5" s="304"/>
      <c r="B5" s="305"/>
      <c r="C5" s="306"/>
      <c r="D5" s="307"/>
      <c r="E5" s="314"/>
      <c r="F5" s="316"/>
      <c r="G5" s="289"/>
      <c r="H5" s="298"/>
      <c r="I5" s="289"/>
      <c r="J5" s="298"/>
      <c r="K5" s="291" t="s">
        <v>174</v>
      </c>
      <c r="L5" s="293"/>
      <c r="M5" s="298"/>
      <c r="N5" s="300"/>
      <c r="O5" s="289"/>
      <c r="P5" s="290"/>
      <c r="Q5" s="291" t="s">
        <v>120</v>
      </c>
      <c r="R5" s="293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252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77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252"/>
      <c r="G7" s="10"/>
      <c r="H7" s="10"/>
      <c r="I7" s="10"/>
      <c r="J7" s="10"/>
      <c r="K7" s="10"/>
      <c r="L7" s="10"/>
      <c r="M7" s="10"/>
      <c r="N7" s="177"/>
      <c r="O7" s="10"/>
      <c r="P7" s="10"/>
      <c r="Q7" s="10"/>
      <c r="R7" s="99"/>
    </row>
    <row r="8" spans="1:18" s="6" customFormat="1" ht="17.25">
      <c r="A8" s="7"/>
      <c r="B8" s="194" t="s">
        <v>9</v>
      </c>
      <c r="C8" s="75" t="s">
        <v>10</v>
      </c>
      <c r="D8" s="191">
        <f>D9+D15+D18+D19+D20+D36+D17</f>
        <v>841050</v>
      </c>
      <c r="E8" s="191">
        <f>E9+E15+E18+E19+E20+E36+E17</f>
        <v>420235.77999999997</v>
      </c>
      <c r="F8" s="253">
        <f>F9+F15+F18+F19+F20+F36+F17</f>
        <v>465511.43</v>
      </c>
      <c r="G8" s="191">
        <f aca="true" t="shared" si="0" ref="G8:G36">F8-E8</f>
        <v>45275.65000000002</v>
      </c>
      <c r="H8" s="192">
        <f>F8/E8*100</f>
        <v>110.77386842215103</v>
      </c>
      <c r="I8" s="193">
        <f>F8-D8</f>
        <v>-375538.57</v>
      </c>
      <c r="J8" s="193">
        <f>F8/D8*100</f>
        <v>55.348841329290764</v>
      </c>
      <c r="K8" s="191">
        <f>F8-305119.12</f>
        <v>160392.31</v>
      </c>
      <c r="L8" s="191">
        <f>F8/305119.12*100</f>
        <v>152.56711214951068</v>
      </c>
      <c r="M8" s="191">
        <f>M9+M15+M18+M19+M20+M17</f>
        <v>67799.29999999999</v>
      </c>
      <c r="N8" s="191">
        <f>N9+N15+N18+N19+N20+N17</f>
        <v>90516.48000000001</v>
      </c>
      <c r="O8" s="191">
        <f>N8-M8</f>
        <v>22717.180000000022</v>
      </c>
      <c r="P8" s="191">
        <f>N8/M8*100</f>
        <v>133.50651112917097</v>
      </c>
      <c r="Q8" s="15" t="e">
        <f>#N/A</f>
        <v>#N/A</v>
      </c>
      <c r="R8" s="15" t="e">
        <f>#N/A</f>
        <v>#N/A</v>
      </c>
    </row>
    <row r="9" spans="1:18" s="6" customFormat="1" ht="18">
      <c r="A9" s="8"/>
      <c r="B9" s="13" t="s">
        <v>82</v>
      </c>
      <c r="C9" s="48">
        <v>11010000</v>
      </c>
      <c r="D9" s="190">
        <v>459700</v>
      </c>
      <c r="E9" s="190">
        <v>223904.27</v>
      </c>
      <c r="F9" s="197">
        <v>261442.54</v>
      </c>
      <c r="G9" s="190">
        <f t="shared" si="0"/>
        <v>37538.27000000002</v>
      </c>
      <c r="H9" s="197">
        <f>F9/E9*100</f>
        <v>116.7653211794487</v>
      </c>
      <c r="I9" s="198">
        <f>F9-D9</f>
        <v>-198257.46</v>
      </c>
      <c r="J9" s="198">
        <f>F9/D9*100</f>
        <v>56.87242549488797</v>
      </c>
      <c r="K9" s="199">
        <f>F9-171379.72</f>
        <v>90062.82</v>
      </c>
      <c r="L9" s="199">
        <f>F9/171379.72*100</f>
        <v>152.55162046011046</v>
      </c>
      <c r="M9" s="197">
        <f>E9-травень!E9</f>
        <v>41002</v>
      </c>
      <c r="N9" s="200">
        <f>F9-травень!F9</f>
        <v>62341.619999999995</v>
      </c>
      <c r="O9" s="201">
        <f>N9-M9</f>
        <v>21339.619999999995</v>
      </c>
      <c r="P9" s="198">
        <f>N9/M9*100</f>
        <v>152.04531486268962</v>
      </c>
      <c r="Q9" s="106"/>
      <c r="R9" s="107"/>
    </row>
    <row r="10" spans="1:18" s="6" customFormat="1" ht="18" hidden="1">
      <c r="A10" s="8"/>
      <c r="B10" s="136" t="s">
        <v>93</v>
      </c>
      <c r="C10" s="108">
        <v>11010100</v>
      </c>
      <c r="D10" s="109">
        <v>411440</v>
      </c>
      <c r="E10" s="109">
        <v>199295.84</v>
      </c>
      <c r="F10" s="111">
        <v>231268.41</v>
      </c>
      <c r="G10" s="109">
        <f t="shared" si="0"/>
        <v>31972.570000000007</v>
      </c>
      <c r="H10" s="32">
        <f aca="true" t="shared" si="1" ref="H10:H35">F10/E10*100</f>
        <v>116.04276837890846</v>
      </c>
      <c r="I10" s="110">
        <f aca="true" t="shared" si="2" ref="I10:I36">F10-D10</f>
        <v>-180171.59</v>
      </c>
      <c r="J10" s="110">
        <f aca="true" t="shared" si="3" ref="J10:J35">F10/D10*100</f>
        <v>56.20951049970834</v>
      </c>
      <c r="K10" s="112">
        <f>F10-152226.9</f>
        <v>79041.51000000001</v>
      </c>
      <c r="L10" s="112">
        <f>F10/152226.9*100</f>
        <v>151.92348395717184</v>
      </c>
      <c r="M10" s="111">
        <f>E10-травень!E10</f>
        <v>37450</v>
      </c>
      <c r="N10" s="179">
        <f>F10-травень!F10</f>
        <v>57100.080000000016</v>
      </c>
      <c r="O10" s="112">
        <f aca="true" t="shared" si="4" ref="O10:O36">N10-M10</f>
        <v>19650.080000000016</v>
      </c>
      <c r="P10" s="198">
        <f aca="true" t="shared" si="5" ref="P10:P16">N10/M10*100</f>
        <v>152.47017356475305</v>
      </c>
      <c r="Q10" s="42"/>
      <c r="R10" s="100"/>
    </row>
    <row r="11" spans="1:18" s="6" customFormat="1" ht="18" hidden="1">
      <c r="A11" s="8"/>
      <c r="B11" s="136" t="s">
        <v>89</v>
      </c>
      <c r="C11" s="108">
        <v>11010200</v>
      </c>
      <c r="D11" s="109">
        <v>23000</v>
      </c>
      <c r="E11" s="109">
        <v>14164.94</v>
      </c>
      <c r="F11" s="111">
        <v>18032.25</v>
      </c>
      <c r="G11" s="109">
        <f t="shared" si="0"/>
        <v>3867.3099999999995</v>
      </c>
      <c r="H11" s="32">
        <f t="shared" si="1"/>
        <v>127.30198645387838</v>
      </c>
      <c r="I11" s="110">
        <f t="shared" si="2"/>
        <v>-4967.75</v>
      </c>
      <c r="J11" s="110">
        <f t="shared" si="3"/>
        <v>78.40108695652174</v>
      </c>
      <c r="K11" s="112">
        <f>F11-9213.1</f>
        <v>8819.15</v>
      </c>
      <c r="L11" s="112">
        <f>F11/9213.1*100</f>
        <v>195.72402340146095</v>
      </c>
      <c r="M11" s="111">
        <f>E11-травень!E11</f>
        <v>1600</v>
      </c>
      <c r="N11" s="179">
        <f>F11-травень!F11</f>
        <v>3353</v>
      </c>
      <c r="O11" s="112">
        <f t="shared" si="4"/>
        <v>1753</v>
      </c>
      <c r="P11" s="198">
        <f t="shared" si="5"/>
        <v>209.5625</v>
      </c>
      <c r="Q11" s="42"/>
      <c r="R11" s="100"/>
    </row>
    <row r="12" spans="1:18" s="6" customFormat="1" ht="18" hidden="1">
      <c r="A12" s="8"/>
      <c r="B12" s="136" t="s">
        <v>92</v>
      </c>
      <c r="C12" s="108">
        <v>11010400</v>
      </c>
      <c r="D12" s="109">
        <v>6500</v>
      </c>
      <c r="E12" s="109">
        <v>2720.61</v>
      </c>
      <c r="F12" s="111">
        <v>5288.66</v>
      </c>
      <c r="G12" s="109">
        <f t="shared" si="0"/>
        <v>2568.0499999999997</v>
      </c>
      <c r="H12" s="32">
        <f t="shared" si="1"/>
        <v>194.39243404971677</v>
      </c>
      <c r="I12" s="110">
        <f t="shared" si="2"/>
        <v>-1211.3400000000001</v>
      </c>
      <c r="J12" s="110">
        <f t="shared" si="3"/>
        <v>81.364</v>
      </c>
      <c r="K12" s="112">
        <f>F12-2592.53</f>
        <v>2696.1299999999997</v>
      </c>
      <c r="L12" s="112">
        <f>F12/2592.53*100</f>
        <v>203.99609647718634</v>
      </c>
      <c r="M12" s="111">
        <f>E12-травень!E12</f>
        <v>500</v>
      </c>
      <c r="N12" s="179">
        <f>F12-травень!F12</f>
        <v>705.4300000000003</v>
      </c>
      <c r="O12" s="112">
        <f t="shared" si="4"/>
        <v>205.4300000000003</v>
      </c>
      <c r="P12" s="198">
        <f t="shared" si="5"/>
        <v>141.08600000000007</v>
      </c>
      <c r="Q12" s="42"/>
      <c r="R12" s="100"/>
    </row>
    <row r="13" spans="1:18" s="6" customFormat="1" ht="18" hidden="1">
      <c r="A13" s="8"/>
      <c r="B13" s="136" t="s">
        <v>90</v>
      </c>
      <c r="C13" s="108">
        <v>11010500</v>
      </c>
      <c r="D13" s="109">
        <v>12400</v>
      </c>
      <c r="E13" s="109">
        <v>4584.84</v>
      </c>
      <c r="F13" s="111">
        <v>4452.61</v>
      </c>
      <c r="G13" s="109">
        <f t="shared" si="0"/>
        <v>-132.23000000000047</v>
      </c>
      <c r="H13" s="32">
        <f t="shared" si="1"/>
        <v>97.11592989068319</v>
      </c>
      <c r="I13" s="110">
        <f t="shared" si="2"/>
        <v>-7947.39</v>
      </c>
      <c r="J13" s="110">
        <f t="shared" si="3"/>
        <v>35.90814516129032</v>
      </c>
      <c r="K13" s="112">
        <f>F13-2783.41</f>
        <v>1669.1999999999998</v>
      </c>
      <c r="L13" s="112">
        <f>F13/2783.41*100</f>
        <v>159.96960562762942</v>
      </c>
      <c r="M13" s="111">
        <f>E13-травень!E13</f>
        <v>820</v>
      </c>
      <c r="N13" s="179">
        <f>F13-травень!F13</f>
        <v>689.1699999999996</v>
      </c>
      <c r="O13" s="112">
        <f t="shared" si="4"/>
        <v>-130.83000000000038</v>
      </c>
      <c r="P13" s="198">
        <f t="shared" si="5"/>
        <v>84.04512195121947</v>
      </c>
      <c r="Q13" s="42"/>
      <c r="R13" s="100"/>
    </row>
    <row r="14" spans="1:18" s="6" customFormat="1" ht="18" hidden="1">
      <c r="A14" s="8"/>
      <c r="B14" s="136" t="s">
        <v>91</v>
      </c>
      <c r="C14" s="108">
        <v>11010900</v>
      </c>
      <c r="D14" s="109">
        <v>6360</v>
      </c>
      <c r="E14" s="109">
        <v>3138.04</v>
      </c>
      <c r="F14" s="111">
        <v>2400.61</v>
      </c>
      <c r="G14" s="109">
        <f t="shared" si="0"/>
        <v>-737.4299999999998</v>
      </c>
      <c r="H14" s="32">
        <f t="shared" si="1"/>
        <v>76.50029955003761</v>
      </c>
      <c r="I14" s="110">
        <f t="shared" si="2"/>
        <v>-3959.39</v>
      </c>
      <c r="J14" s="110">
        <f t="shared" si="3"/>
        <v>37.745440251572326</v>
      </c>
      <c r="K14" s="112">
        <f>F14-4563.77</f>
        <v>-2163.1600000000003</v>
      </c>
      <c r="L14" s="112">
        <f>F14/4563.77*100</f>
        <v>52.60146764626613</v>
      </c>
      <c r="M14" s="111">
        <f>E14-травень!E14</f>
        <v>632</v>
      </c>
      <c r="N14" s="179">
        <f>F14-травень!F14</f>
        <v>493.93000000000006</v>
      </c>
      <c r="O14" s="112">
        <f t="shared" si="4"/>
        <v>-138.06999999999994</v>
      </c>
      <c r="P14" s="198">
        <f t="shared" si="5"/>
        <v>78.15348101265823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190">
        <v>500</v>
      </c>
      <c r="E15" s="190">
        <v>240</v>
      </c>
      <c r="F15" s="197">
        <v>309.24</v>
      </c>
      <c r="G15" s="190">
        <f t="shared" si="0"/>
        <v>69.24000000000001</v>
      </c>
      <c r="H15" s="197">
        <f>F15/E15*100</f>
        <v>128.85</v>
      </c>
      <c r="I15" s="198">
        <f t="shared" si="2"/>
        <v>-190.76</v>
      </c>
      <c r="J15" s="198">
        <f t="shared" si="3"/>
        <v>61.848000000000006</v>
      </c>
      <c r="K15" s="201">
        <f>F15-(-858.14)</f>
        <v>1167.38</v>
      </c>
      <c r="L15" s="201">
        <f>F15/(-858.14)*100</f>
        <v>-36.036078029226005</v>
      </c>
      <c r="M15" s="197">
        <f>E15-травень!E15</f>
        <v>5</v>
      </c>
      <c r="N15" s="200">
        <f>F15-травень!F15</f>
        <v>0</v>
      </c>
      <c r="O15" s="201">
        <f t="shared" si="4"/>
        <v>-5</v>
      </c>
      <c r="P15" s="198">
        <f t="shared" si="5"/>
        <v>0</v>
      </c>
      <c r="Q15" s="42"/>
      <c r="R15" s="100"/>
    </row>
    <row r="16" spans="1:18" s="6" customFormat="1" ht="18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11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197">
        <f>E16-травень!E16</f>
        <v>0</v>
      </c>
      <c r="N16" s="200">
        <f>F16-травень!F16</f>
        <v>0</v>
      </c>
      <c r="O16" s="40">
        <f t="shared" si="4"/>
        <v>0</v>
      </c>
      <c r="P16" s="198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202">
        <v>0</v>
      </c>
      <c r="E17" s="202">
        <v>0</v>
      </c>
      <c r="F17" s="204">
        <v>0.17</v>
      </c>
      <c r="G17" s="202">
        <f t="shared" si="0"/>
        <v>0.17</v>
      </c>
      <c r="H17" s="204"/>
      <c r="I17" s="205">
        <f t="shared" si="2"/>
        <v>0.17</v>
      </c>
      <c r="J17" s="205"/>
      <c r="K17" s="206">
        <f>F17-0.09</f>
        <v>0.08000000000000002</v>
      </c>
      <c r="L17" s="207">
        <f>F17/0.09*100</f>
        <v>188.8888888888889</v>
      </c>
      <c r="M17" s="197">
        <f>E17-травень!E17</f>
        <v>0</v>
      </c>
      <c r="N17" s="200">
        <f>F17-травень!F17</f>
        <v>0</v>
      </c>
      <c r="O17" s="207">
        <f t="shared" si="4"/>
        <v>0</v>
      </c>
      <c r="P17" s="198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190">
        <v>10</v>
      </c>
      <c r="E18" s="190">
        <v>10</v>
      </c>
      <c r="F18" s="197">
        <v>105.8</v>
      </c>
      <c r="G18" s="190">
        <f t="shared" si="0"/>
        <v>95.8</v>
      </c>
      <c r="H18" s="197">
        <f t="shared" si="1"/>
        <v>1058</v>
      </c>
      <c r="I18" s="198">
        <f t="shared" si="2"/>
        <v>95.8</v>
      </c>
      <c r="J18" s="198">
        <f t="shared" si="3"/>
        <v>1058</v>
      </c>
      <c r="K18" s="201">
        <f>F18-15.8</f>
        <v>90</v>
      </c>
      <c r="L18" s="201">
        <f>F18/15.8*100</f>
        <v>669.6202531645569</v>
      </c>
      <c r="M18" s="197">
        <f>E18-травень!E18</f>
        <v>0</v>
      </c>
      <c r="N18" s="200">
        <f>F18-травень!F18</f>
        <v>0</v>
      </c>
      <c r="O18" s="201">
        <f t="shared" si="4"/>
        <v>0</v>
      </c>
      <c r="P18" s="198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190">
        <v>109900</v>
      </c>
      <c r="E19" s="190">
        <v>47860.4</v>
      </c>
      <c r="F19" s="197">
        <v>44512.02</v>
      </c>
      <c r="G19" s="190">
        <f t="shared" si="0"/>
        <v>-3348.3800000000047</v>
      </c>
      <c r="H19" s="197">
        <f t="shared" si="1"/>
        <v>93.00386122974315</v>
      </c>
      <c r="I19" s="198">
        <f t="shared" si="2"/>
        <v>-65387.98</v>
      </c>
      <c r="J19" s="198">
        <f t="shared" si="3"/>
        <v>40.50229299363057</v>
      </c>
      <c r="K19" s="209">
        <f>F19-30116.49</f>
        <v>14395.529999999995</v>
      </c>
      <c r="L19" s="209">
        <f>F19/30116.49*100</f>
        <v>147.79949456261335</v>
      </c>
      <c r="M19" s="197">
        <f>E19-травень!E19</f>
        <v>9800</v>
      </c>
      <c r="N19" s="200">
        <f>F19-травень!F19</f>
        <v>9281.46</v>
      </c>
      <c r="O19" s="201">
        <f t="shared" si="4"/>
        <v>-518.5400000000009</v>
      </c>
      <c r="P19" s="198">
        <f aca="true" t="shared" si="6" ref="P19:P24">N19/M19*100</f>
        <v>94.70877551020406</v>
      </c>
      <c r="Q19" s="113"/>
      <c r="R19" s="114"/>
    </row>
    <row r="20" spans="1:18" s="6" customFormat="1" ht="18">
      <c r="A20" s="8"/>
      <c r="B20" s="130" t="s">
        <v>76</v>
      </c>
      <c r="C20" s="48">
        <v>18000000</v>
      </c>
      <c r="D20" s="190">
        <f>D21+D29+D31</f>
        <v>270940</v>
      </c>
      <c r="E20" s="190">
        <f>E21+E29+E31</f>
        <v>148221.11</v>
      </c>
      <c r="F20" s="254">
        <f>F21+F29+F31+F30</f>
        <v>159141.66</v>
      </c>
      <c r="G20" s="190">
        <f t="shared" si="0"/>
        <v>10920.550000000017</v>
      </c>
      <c r="H20" s="197">
        <f t="shared" si="1"/>
        <v>107.36774269198229</v>
      </c>
      <c r="I20" s="198">
        <f t="shared" si="2"/>
        <v>-111798.34</v>
      </c>
      <c r="J20" s="198">
        <f t="shared" si="3"/>
        <v>58.73686425038754</v>
      </c>
      <c r="K20" s="198">
        <f>F20-100444.36</f>
        <v>58697.3</v>
      </c>
      <c r="L20" s="198">
        <f>F20/100444.36*100</f>
        <v>158.4376265626064</v>
      </c>
      <c r="M20" s="197">
        <f>M21+M29+M30+M31</f>
        <v>16992.299999999985</v>
      </c>
      <c r="N20" s="200">
        <f>F20-травень!F20</f>
        <v>18893.400000000023</v>
      </c>
      <c r="O20" s="201">
        <f t="shared" si="4"/>
        <v>1901.1000000000386</v>
      </c>
      <c r="P20" s="198">
        <f t="shared" si="6"/>
        <v>111.18800868628756</v>
      </c>
      <c r="Q20" s="113"/>
      <c r="R20" s="114"/>
    </row>
    <row r="21" spans="1:18" s="6" customFormat="1" ht="18">
      <c r="A21" s="8"/>
      <c r="B21" s="49" t="s">
        <v>84</v>
      </c>
      <c r="C21" s="127">
        <v>18010000</v>
      </c>
      <c r="D21" s="190">
        <f>D22+D25+D26</f>
        <v>161400</v>
      </c>
      <c r="E21" s="190">
        <f>E22+E25+E26</f>
        <v>78143.36</v>
      </c>
      <c r="F21" s="190">
        <f>F22+F25+F26</f>
        <v>85994.39</v>
      </c>
      <c r="G21" s="190">
        <f t="shared" si="0"/>
        <v>7851.029999999999</v>
      </c>
      <c r="H21" s="197">
        <f t="shared" si="1"/>
        <v>110.04695728466245</v>
      </c>
      <c r="I21" s="198">
        <f t="shared" si="2"/>
        <v>-75405.61</v>
      </c>
      <c r="J21" s="198">
        <f t="shared" si="3"/>
        <v>53.280291201982656</v>
      </c>
      <c r="K21" s="198">
        <f>F21-54757.32</f>
        <v>31237.07</v>
      </c>
      <c r="L21" s="198">
        <f>F21/54757.32*100</f>
        <v>157.04638210927783</v>
      </c>
      <c r="M21" s="197">
        <f>M22+M25+M26</f>
        <v>13047.099999999999</v>
      </c>
      <c r="N21" s="200">
        <f>F21-травень!F21</f>
        <v>14454.25</v>
      </c>
      <c r="O21" s="201">
        <f t="shared" si="4"/>
        <v>1407.1500000000015</v>
      </c>
      <c r="P21" s="198">
        <f t="shared" si="6"/>
        <v>110.7851553218723</v>
      </c>
      <c r="Q21" s="113"/>
      <c r="R21" s="114"/>
    </row>
    <row r="22" spans="1:20" s="6" customFormat="1" ht="18">
      <c r="A22" s="8"/>
      <c r="B22" s="55" t="s">
        <v>77</v>
      </c>
      <c r="C22" s="138"/>
      <c r="D22" s="212">
        <v>18500</v>
      </c>
      <c r="E22" s="212">
        <v>8611.6</v>
      </c>
      <c r="F22" s="214">
        <v>9233.59</v>
      </c>
      <c r="G22" s="212">
        <f t="shared" si="0"/>
        <v>621.9899999999998</v>
      </c>
      <c r="H22" s="214">
        <f t="shared" si="1"/>
        <v>107.2226996144735</v>
      </c>
      <c r="I22" s="215">
        <f t="shared" si="2"/>
        <v>-9266.41</v>
      </c>
      <c r="J22" s="215">
        <f t="shared" si="3"/>
        <v>49.911297297297295</v>
      </c>
      <c r="K22" s="216">
        <f>F22-4957.1</f>
        <v>4276.49</v>
      </c>
      <c r="L22" s="216">
        <f>F22/4957.1*100</f>
        <v>186.26999657057553</v>
      </c>
      <c r="M22" s="214">
        <f>E22-травень!E22</f>
        <v>240</v>
      </c>
      <c r="N22" s="217">
        <f>F22-травень!F22</f>
        <v>593.4400000000005</v>
      </c>
      <c r="O22" s="218">
        <f t="shared" si="4"/>
        <v>353.4400000000005</v>
      </c>
      <c r="P22" s="215">
        <f t="shared" si="6"/>
        <v>247.26666666666688</v>
      </c>
      <c r="Q22" s="113"/>
      <c r="R22" s="114"/>
      <c r="T22" s="186"/>
    </row>
    <row r="23" spans="1:20" s="6" customFormat="1" ht="22.5" customHeight="1" hidden="1">
      <c r="A23" s="8"/>
      <c r="B23" s="237" t="s">
        <v>164</v>
      </c>
      <c r="C23" s="238"/>
      <c r="D23" s="241">
        <v>2000</v>
      </c>
      <c r="E23" s="241">
        <v>389.1</v>
      </c>
      <c r="F23" s="204">
        <v>342.1</v>
      </c>
      <c r="G23" s="241">
        <f t="shared" si="0"/>
        <v>-47</v>
      </c>
      <c r="H23" s="242">
        <f t="shared" si="1"/>
        <v>87.92084297095862</v>
      </c>
      <c r="I23" s="243">
        <f t="shared" si="2"/>
        <v>-1657.9</v>
      </c>
      <c r="J23" s="243">
        <f t="shared" si="3"/>
        <v>17.105</v>
      </c>
      <c r="K23" s="244">
        <f>F23-284.18</f>
        <v>57.920000000000016</v>
      </c>
      <c r="L23" s="244">
        <f>F23/284.18*100</f>
        <v>120.38144837778873</v>
      </c>
      <c r="M23" s="239">
        <f>E23-травень!E23</f>
        <v>40</v>
      </c>
      <c r="N23" s="239">
        <f>F23-травень!F23</f>
        <v>78.45000000000005</v>
      </c>
      <c r="O23" s="240">
        <f t="shared" si="4"/>
        <v>38.450000000000045</v>
      </c>
      <c r="P23" s="240">
        <f t="shared" si="6"/>
        <v>196.1250000000001</v>
      </c>
      <c r="Q23" s="113"/>
      <c r="R23" s="114"/>
      <c r="T23" s="186"/>
    </row>
    <row r="24" spans="1:20" s="6" customFormat="1" ht="18" hidden="1">
      <c r="A24" s="8"/>
      <c r="B24" s="237" t="s">
        <v>165</v>
      </c>
      <c r="C24" s="238"/>
      <c r="D24" s="241">
        <v>16500</v>
      </c>
      <c r="E24" s="241">
        <v>8222.5</v>
      </c>
      <c r="F24" s="204">
        <v>8891.49</v>
      </c>
      <c r="G24" s="241">
        <f t="shared" si="0"/>
        <v>668.9899999999998</v>
      </c>
      <c r="H24" s="242">
        <f t="shared" si="1"/>
        <v>108.13608999695956</v>
      </c>
      <c r="I24" s="243">
        <f t="shared" si="2"/>
        <v>-7608.51</v>
      </c>
      <c r="J24" s="243">
        <f t="shared" si="3"/>
        <v>53.88781818181818</v>
      </c>
      <c r="K24" s="244">
        <f>F24-4672.92</f>
        <v>4218.57</v>
      </c>
      <c r="L24" s="244">
        <f>F24/4672.92*100</f>
        <v>190.27695744844763</v>
      </c>
      <c r="M24" s="239">
        <f>E24-травень!E24</f>
        <v>200</v>
      </c>
      <c r="N24" s="239">
        <f>F24-травень!F24</f>
        <v>514.9899999999998</v>
      </c>
      <c r="O24" s="240">
        <f t="shared" si="4"/>
        <v>314.9899999999998</v>
      </c>
      <c r="P24" s="240">
        <f t="shared" si="6"/>
        <v>257.4949999999999</v>
      </c>
      <c r="Q24" s="113"/>
      <c r="R24" s="114"/>
      <c r="T24" s="186"/>
    </row>
    <row r="25" spans="1:18" s="6" customFormat="1" ht="18">
      <c r="A25" s="8"/>
      <c r="B25" s="55" t="s">
        <v>78</v>
      </c>
      <c r="C25" s="138"/>
      <c r="D25" s="212">
        <v>2800</v>
      </c>
      <c r="E25" s="212">
        <v>276.84</v>
      </c>
      <c r="F25" s="214">
        <v>435.05</v>
      </c>
      <c r="G25" s="212">
        <f t="shared" si="0"/>
        <v>158.21000000000004</v>
      </c>
      <c r="H25" s="214">
        <f t="shared" si="1"/>
        <v>157.1485334489236</v>
      </c>
      <c r="I25" s="215">
        <f t="shared" si="2"/>
        <v>-2364.95</v>
      </c>
      <c r="J25" s="215">
        <f t="shared" si="3"/>
        <v>15.537500000000001</v>
      </c>
      <c r="K25" s="215">
        <f>F25-210.68</f>
        <v>224.37</v>
      </c>
      <c r="L25" s="215">
        <f>F25/210.68*100</f>
        <v>206.49800645528762</v>
      </c>
      <c r="M25" s="214">
        <f>E25-травень!E25</f>
        <v>0</v>
      </c>
      <c r="N25" s="217">
        <f>F25-травень!F25</f>
        <v>14.970000000000027</v>
      </c>
      <c r="O25" s="218">
        <f t="shared" si="4"/>
        <v>14.970000000000027</v>
      </c>
      <c r="P25" s="215"/>
      <c r="Q25" s="113"/>
      <c r="R25" s="114"/>
    </row>
    <row r="26" spans="1:18" s="6" customFormat="1" ht="18">
      <c r="A26" s="8"/>
      <c r="B26" s="55" t="s">
        <v>79</v>
      </c>
      <c r="C26" s="138"/>
      <c r="D26" s="212">
        <v>140100</v>
      </c>
      <c r="E26" s="212">
        <v>69254.92</v>
      </c>
      <c r="F26" s="214">
        <v>76325.75</v>
      </c>
      <c r="G26" s="212">
        <f t="shared" si="0"/>
        <v>7070.830000000002</v>
      </c>
      <c r="H26" s="214">
        <f t="shared" si="1"/>
        <v>110.2098594583605</v>
      </c>
      <c r="I26" s="215">
        <f t="shared" si="2"/>
        <v>-63774.25</v>
      </c>
      <c r="J26" s="215">
        <f t="shared" si="3"/>
        <v>54.4794789436117</v>
      </c>
      <c r="K26" s="216">
        <f>F26-49589.53</f>
        <v>26736.22</v>
      </c>
      <c r="L26" s="216">
        <f>F26/49589.53*100</f>
        <v>153.9150502132204</v>
      </c>
      <c r="M26" s="214">
        <f>E26-травень!E26</f>
        <v>12807.099999999999</v>
      </c>
      <c r="N26" s="217">
        <f>F26-травень!F26</f>
        <v>13845.839999999997</v>
      </c>
      <c r="O26" s="218">
        <f t="shared" si="4"/>
        <v>1038.739999999998</v>
      </c>
      <c r="P26" s="215">
        <f>N26/M26*100</f>
        <v>108.11065736974021</v>
      </c>
      <c r="Q26" s="113"/>
      <c r="R26" s="114"/>
    </row>
    <row r="27" spans="1:18" s="6" customFormat="1" ht="18" hidden="1">
      <c r="A27" s="8"/>
      <c r="B27" s="237" t="s">
        <v>166</v>
      </c>
      <c r="C27" s="238"/>
      <c r="D27" s="241">
        <v>38057</v>
      </c>
      <c r="E27" s="241">
        <v>19429.75</v>
      </c>
      <c r="F27" s="204">
        <v>23736.85</v>
      </c>
      <c r="G27" s="241">
        <f t="shared" si="0"/>
        <v>4307.0999999999985</v>
      </c>
      <c r="H27" s="242">
        <f t="shared" si="1"/>
        <v>122.16755233597961</v>
      </c>
      <c r="I27" s="243">
        <f t="shared" si="2"/>
        <v>-14320.150000000001</v>
      </c>
      <c r="J27" s="243">
        <f t="shared" si="3"/>
        <v>62.371836981370045</v>
      </c>
      <c r="K27" s="244">
        <f>F27-12926</f>
        <v>10810.849999999999</v>
      </c>
      <c r="L27" s="244">
        <f>F27/12926*100</f>
        <v>183.63646913198204</v>
      </c>
      <c r="M27" s="239">
        <f>E27-12724.05</f>
        <v>6705.700000000001</v>
      </c>
      <c r="N27" s="239">
        <f>F27-15205.9</f>
        <v>8530.949999999999</v>
      </c>
      <c r="O27" s="240">
        <f t="shared" si="4"/>
        <v>1825.2499999999982</v>
      </c>
      <c r="P27" s="240">
        <f>N27/M27*100</f>
        <v>127.2193805270143</v>
      </c>
      <c r="Q27" s="113"/>
      <c r="R27" s="114"/>
    </row>
    <row r="28" spans="1:18" s="6" customFormat="1" ht="18" hidden="1">
      <c r="A28" s="8"/>
      <c r="B28" s="237" t="s">
        <v>167</v>
      </c>
      <c r="C28" s="238"/>
      <c r="D28" s="241">
        <v>102043</v>
      </c>
      <c r="E28" s="241">
        <v>49825.17</v>
      </c>
      <c r="F28" s="204">
        <v>52588.89</v>
      </c>
      <c r="G28" s="241">
        <f t="shared" si="0"/>
        <v>2763.720000000001</v>
      </c>
      <c r="H28" s="242">
        <f t="shared" si="1"/>
        <v>105.54683506348297</v>
      </c>
      <c r="I28" s="243">
        <f t="shared" si="2"/>
        <v>-49454.11</v>
      </c>
      <c r="J28" s="243">
        <f t="shared" si="3"/>
        <v>51.53600932940034</v>
      </c>
      <c r="K28" s="244">
        <f>F28-36663.53</f>
        <v>15925.36</v>
      </c>
      <c r="L28" s="244">
        <f>F28/36663.53*100</f>
        <v>143.4365157964877</v>
      </c>
      <c r="M28" s="239">
        <f>E28-32053.77</f>
        <v>17771.399999999998</v>
      </c>
      <c r="N28" s="239">
        <f>F28-34030.56</f>
        <v>18558.33</v>
      </c>
      <c r="O28" s="240">
        <f t="shared" si="4"/>
        <v>786.9300000000039</v>
      </c>
      <c r="P28" s="240">
        <f>N28/M28*100</f>
        <v>104.42806982004798</v>
      </c>
      <c r="Q28" s="113"/>
      <c r="R28" s="114"/>
    </row>
    <row r="29" spans="1:18" s="6" customFormat="1" ht="18">
      <c r="A29" s="8"/>
      <c r="B29" s="49" t="s">
        <v>85</v>
      </c>
      <c r="C29" s="127">
        <v>18030000</v>
      </c>
      <c r="D29" s="190">
        <v>77</v>
      </c>
      <c r="E29" s="190">
        <v>35.71</v>
      </c>
      <c r="F29" s="197">
        <v>55.62</v>
      </c>
      <c r="G29" s="190">
        <f t="shared" si="0"/>
        <v>19.909999999999997</v>
      </c>
      <c r="H29" s="197">
        <f t="shared" si="1"/>
        <v>155.75469056286752</v>
      </c>
      <c r="I29" s="198">
        <f t="shared" si="2"/>
        <v>-21.380000000000003</v>
      </c>
      <c r="J29" s="198">
        <f t="shared" si="3"/>
        <v>72.23376623376623</v>
      </c>
      <c r="K29" s="198">
        <f>F29-37.42</f>
        <v>18.199999999999996</v>
      </c>
      <c r="L29" s="198">
        <f>F29/37.42*100</f>
        <v>148.63709246392304</v>
      </c>
      <c r="M29" s="197">
        <f>E29-травень!E29</f>
        <v>5.199999999999999</v>
      </c>
      <c r="N29" s="200">
        <f>F29-травень!F29</f>
        <v>4.479999999999997</v>
      </c>
      <c r="O29" s="201">
        <f t="shared" si="4"/>
        <v>-0.7200000000000024</v>
      </c>
      <c r="P29" s="198">
        <f>N29/M29*100</f>
        <v>86.1538461538461</v>
      </c>
      <c r="Q29" s="113"/>
      <c r="R29" s="114"/>
    </row>
    <row r="30" spans="1:18" s="6" customFormat="1" ht="49.5" customHeight="1">
      <c r="A30" s="8"/>
      <c r="B30" s="49" t="s">
        <v>86</v>
      </c>
      <c r="C30" s="127">
        <v>18040000</v>
      </c>
      <c r="D30" s="190"/>
      <c r="E30" s="190"/>
      <c r="F30" s="197">
        <v>-125.04</v>
      </c>
      <c r="G30" s="190">
        <f t="shared" si="0"/>
        <v>-125.04</v>
      </c>
      <c r="H30" s="197"/>
      <c r="I30" s="198">
        <f t="shared" si="2"/>
        <v>-125.04</v>
      </c>
      <c r="J30" s="198"/>
      <c r="K30" s="198">
        <f>F30-(-403.36)</f>
        <v>278.32</v>
      </c>
      <c r="L30" s="198">
        <f>F30/(-403.36)*100</f>
        <v>30.999603332011105</v>
      </c>
      <c r="M30" s="197">
        <f>E30-травень!E30</f>
        <v>0</v>
      </c>
      <c r="N30" s="200">
        <f>F30-травень!F30</f>
        <v>-15.320000000000007</v>
      </c>
      <c r="O30" s="201">
        <f t="shared" si="4"/>
        <v>-15.320000000000007</v>
      </c>
      <c r="P30" s="198"/>
      <c r="Q30" s="113"/>
      <c r="R30" s="114"/>
    </row>
    <row r="31" spans="1:18" s="6" customFormat="1" ht="18">
      <c r="A31" s="8"/>
      <c r="B31" s="49" t="s">
        <v>87</v>
      </c>
      <c r="C31" s="127">
        <v>18050000</v>
      </c>
      <c r="D31" s="202">
        <v>109463</v>
      </c>
      <c r="E31" s="202">
        <v>70042.04</v>
      </c>
      <c r="F31" s="204">
        <v>73216.69</v>
      </c>
      <c r="G31" s="202">
        <f t="shared" si="0"/>
        <v>3174.6500000000087</v>
      </c>
      <c r="H31" s="204">
        <f t="shared" si="1"/>
        <v>104.53249220039851</v>
      </c>
      <c r="I31" s="205">
        <f t="shared" si="2"/>
        <v>-36246.31</v>
      </c>
      <c r="J31" s="205">
        <f t="shared" si="3"/>
        <v>66.8871582178453</v>
      </c>
      <c r="K31" s="219">
        <f>F31-46052.97</f>
        <v>27163.72</v>
      </c>
      <c r="L31" s="219">
        <f>F31/46052.97*100</f>
        <v>158.98364426876267</v>
      </c>
      <c r="M31" s="197">
        <f>E31-травень!E31</f>
        <v>3939.9999999999854</v>
      </c>
      <c r="N31" s="200">
        <f>F31-травень!F31</f>
        <v>4449.990000000005</v>
      </c>
      <c r="O31" s="207">
        <f t="shared" si="4"/>
        <v>509.9900000000198</v>
      </c>
      <c r="P31" s="205">
        <f>N31/M31*100</f>
        <v>112.94390862944216</v>
      </c>
      <c r="Q31" s="113"/>
      <c r="R31" s="114"/>
    </row>
    <row r="32" spans="1:18" s="6" customFormat="1" ht="15" hidden="1">
      <c r="A32" s="8"/>
      <c r="B32" s="55" t="s">
        <v>94</v>
      </c>
      <c r="C32" s="108">
        <v>18050200</v>
      </c>
      <c r="D32" s="109">
        <v>0</v>
      </c>
      <c r="E32" s="109">
        <v>0</v>
      </c>
      <c r="F32" s="111">
        <v>0.18</v>
      </c>
      <c r="G32" s="109">
        <f t="shared" si="0"/>
        <v>0.18</v>
      </c>
      <c r="H32" s="111"/>
      <c r="I32" s="110">
        <f t="shared" si="2"/>
        <v>0.18</v>
      </c>
      <c r="J32" s="110"/>
      <c r="K32" s="142">
        <f>F32-(-1.2)</f>
        <v>1.38</v>
      </c>
      <c r="L32" s="142"/>
      <c r="M32" s="111">
        <f>E32-травень!E32</f>
        <v>0</v>
      </c>
      <c r="N32" s="179">
        <f>F32-травень!F32</f>
        <v>0</v>
      </c>
      <c r="O32" s="112">
        <f t="shared" si="4"/>
        <v>0</v>
      </c>
      <c r="P32" s="110"/>
      <c r="Q32" s="113"/>
      <c r="R32" s="114"/>
    </row>
    <row r="33" spans="1:18" s="6" customFormat="1" ht="15" hidden="1">
      <c r="A33" s="8"/>
      <c r="B33" s="55" t="s">
        <v>95</v>
      </c>
      <c r="C33" s="108">
        <v>18050300</v>
      </c>
      <c r="D33" s="109">
        <v>27600</v>
      </c>
      <c r="E33" s="109">
        <v>17695.97</v>
      </c>
      <c r="F33" s="111">
        <v>18313.06</v>
      </c>
      <c r="G33" s="109">
        <f t="shared" si="0"/>
        <v>617.0900000000001</v>
      </c>
      <c r="H33" s="111">
        <f t="shared" si="1"/>
        <v>103.48717815412209</v>
      </c>
      <c r="I33" s="110">
        <f t="shared" si="2"/>
        <v>-9286.939999999999</v>
      </c>
      <c r="J33" s="110">
        <f t="shared" si="3"/>
        <v>66.35166666666667</v>
      </c>
      <c r="K33" s="142">
        <f>F33-11423.16</f>
        <v>6889.9000000000015</v>
      </c>
      <c r="L33" s="142">
        <f>F33/11423.16*100</f>
        <v>160.3151842397375</v>
      </c>
      <c r="M33" s="111">
        <f>E33-травень!E33</f>
        <v>940</v>
      </c>
      <c r="N33" s="179">
        <f>F33-травень!F33</f>
        <v>761</v>
      </c>
      <c r="O33" s="112">
        <f t="shared" si="4"/>
        <v>-179</v>
      </c>
      <c r="P33" s="110">
        <f>N33/M33*100</f>
        <v>80.95744680851064</v>
      </c>
      <c r="Q33" s="113"/>
      <c r="R33" s="114"/>
    </row>
    <row r="34" spans="1:18" s="6" customFormat="1" ht="15" hidden="1">
      <c r="A34" s="8"/>
      <c r="B34" s="55" t="s">
        <v>96</v>
      </c>
      <c r="C34" s="108">
        <v>18050400</v>
      </c>
      <c r="D34" s="109">
        <v>81812</v>
      </c>
      <c r="E34" s="109">
        <v>52336.08</v>
      </c>
      <c r="F34" s="111">
        <v>54889.45</v>
      </c>
      <c r="G34" s="109">
        <f t="shared" si="0"/>
        <v>2553.3699999999953</v>
      </c>
      <c r="H34" s="111">
        <f t="shared" si="1"/>
        <v>104.87879489636975</v>
      </c>
      <c r="I34" s="110">
        <f t="shared" si="2"/>
        <v>-26922.550000000003</v>
      </c>
      <c r="J34" s="110">
        <f t="shared" si="3"/>
        <v>67.09217474209163</v>
      </c>
      <c r="K34" s="142">
        <f>F34-34622.85</f>
        <v>20266.6</v>
      </c>
      <c r="L34" s="142">
        <f>F34/34622.85*100</f>
        <v>158.5353314357426</v>
      </c>
      <c r="M34" s="111">
        <f>E34-травень!E34</f>
        <v>3000</v>
      </c>
      <c r="N34" s="179">
        <f>F34-травень!F34</f>
        <v>3688.989999999998</v>
      </c>
      <c r="O34" s="112">
        <f t="shared" si="4"/>
        <v>688.989999999998</v>
      </c>
      <c r="P34" s="110">
        <f>N34/M34*100</f>
        <v>122.96633333333327</v>
      </c>
      <c r="Q34" s="113"/>
      <c r="R34" s="114"/>
    </row>
    <row r="35" spans="1:18" s="6" customFormat="1" ht="15" hidden="1">
      <c r="A35" s="8"/>
      <c r="B35" s="55" t="s">
        <v>97</v>
      </c>
      <c r="C35" s="108">
        <v>18050500</v>
      </c>
      <c r="D35" s="109">
        <v>51</v>
      </c>
      <c r="E35" s="109">
        <v>9.99</v>
      </c>
      <c r="F35" s="111">
        <v>14.01</v>
      </c>
      <c r="G35" s="109">
        <f t="shared" si="0"/>
        <v>4.02</v>
      </c>
      <c r="H35" s="111">
        <f t="shared" si="1"/>
        <v>140.24024024024024</v>
      </c>
      <c r="I35" s="110">
        <f t="shared" si="2"/>
        <v>-36.99</v>
      </c>
      <c r="J35" s="110">
        <f t="shared" si="3"/>
        <v>27.47058823529412</v>
      </c>
      <c r="K35" s="142">
        <f>F35-8.17</f>
        <v>5.84</v>
      </c>
      <c r="L35" s="142">
        <f>F35/8.17*100</f>
        <v>171.4810281517748</v>
      </c>
      <c r="M35" s="111">
        <f>E35-травень!E35</f>
        <v>0</v>
      </c>
      <c r="N35" s="179">
        <f>F35-травень!F35</f>
        <v>0</v>
      </c>
      <c r="O35" s="112">
        <f t="shared" si="4"/>
        <v>0</v>
      </c>
      <c r="P35" s="110"/>
      <c r="Q35" s="113"/>
      <c r="R35" s="114"/>
    </row>
    <row r="36" spans="1:18" s="6" customFormat="1" ht="15" customHeight="1" hidden="1">
      <c r="A36" s="8"/>
      <c r="B36" s="49" t="s">
        <v>47</v>
      </c>
      <c r="C36" s="48">
        <v>19010000</v>
      </c>
      <c r="D36" s="36">
        <v>0</v>
      </c>
      <c r="E36" s="36">
        <v>0</v>
      </c>
      <c r="F36" s="36">
        <v>0</v>
      </c>
      <c r="G36" s="36">
        <f t="shared" si="0"/>
        <v>0</v>
      </c>
      <c r="H36" s="32"/>
      <c r="I36" s="42">
        <f t="shared" si="2"/>
        <v>0</v>
      </c>
      <c r="J36" s="42"/>
      <c r="K36" s="132">
        <f>F36-4020.8</f>
        <v>-4020.8</v>
      </c>
      <c r="L36" s="132">
        <f>F36/2014.1*100</f>
        <v>0</v>
      </c>
      <c r="M36" s="32">
        <v>0</v>
      </c>
      <c r="N36" s="178">
        <f>F36-травень!F36</f>
        <v>0</v>
      </c>
      <c r="O36" s="40">
        <f t="shared" si="4"/>
        <v>0</v>
      </c>
      <c r="P36" s="42"/>
      <c r="Q36" s="113"/>
      <c r="R36" s="114"/>
    </row>
    <row r="37" spans="1:18" s="6" customFormat="1" ht="17.25">
      <c r="A37" s="7"/>
      <c r="B37" s="16" t="s">
        <v>12</v>
      </c>
      <c r="C37" s="75">
        <v>20000000</v>
      </c>
      <c r="D37" s="191">
        <f>D38+D39+D40+D41+D42+D44+D46+D47+D48+D49+D50+D55+D56+D60</f>
        <v>42820</v>
      </c>
      <c r="E37" s="191">
        <f>E38+E39+E40+E41+E42+E44+E46+E47+E48+E49+E50+E55+E56+E60</f>
        <v>21498.029999999995</v>
      </c>
      <c r="F37" s="253">
        <f>F38+F39+F40+F41+F42+F44+F46+F47+F48+F49+F50+F55+F56+F60+F43</f>
        <v>29260.649999999994</v>
      </c>
      <c r="G37" s="191">
        <f>G38+G39+G40+G41+G42+G44+G46+G47+G48+G49+G50+G55+G56+G60</f>
        <v>7749.02</v>
      </c>
      <c r="H37" s="192">
        <f>F37/E37*100</f>
        <v>136.10851785024022</v>
      </c>
      <c r="I37" s="193">
        <f>F37-D37</f>
        <v>-13559.350000000006</v>
      </c>
      <c r="J37" s="193">
        <f>F37/D37*100</f>
        <v>68.33407286314804</v>
      </c>
      <c r="K37" s="191">
        <f>F37-15873</f>
        <v>13387.649999999994</v>
      </c>
      <c r="L37" s="191">
        <f>F37/15873*100</f>
        <v>184.3422793422793</v>
      </c>
      <c r="M37" s="191">
        <f>M38+M39+M40+M41+M42+M44+M46+M47+M48+M49+M50+M55+M56+M60</f>
        <v>3691.0000000000005</v>
      </c>
      <c r="N37" s="191">
        <f>N38+N39+N40+N41+N42+N44+N46+N47+N48+N49+N50+N55+N56+N60+N43</f>
        <v>6420.2300000000005</v>
      </c>
      <c r="O37" s="191">
        <f>O38+O39+O40+O41+O42+O44+O46+O47+O48+O49+O50+O55+O56+O60</f>
        <v>2722.4300000000007</v>
      </c>
      <c r="P37" s="191">
        <f>N37/M37*100</f>
        <v>173.94283392034677</v>
      </c>
      <c r="Q37" s="15" t="e">
        <f>#N/A</f>
        <v>#N/A</v>
      </c>
      <c r="R37" s="15" t="e">
        <f>#N/A</f>
        <v>#N/A</v>
      </c>
    </row>
    <row r="38" spans="1:18" s="6" customFormat="1" ht="46.5">
      <c r="A38" s="8"/>
      <c r="B38" s="49" t="s">
        <v>102</v>
      </c>
      <c r="C38" s="48">
        <v>21010301</v>
      </c>
      <c r="D38" s="190">
        <v>100</v>
      </c>
      <c r="E38" s="190">
        <v>67</v>
      </c>
      <c r="F38" s="197">
        <v>240.17</v>
      </c>
      <c r="G38" s="202">
        <f>F38-E38</f>
        <v>173.17</v>
      </c>
      <c r="H38" s="204">
        <f aca="true" t="shared" si="7" ref="H38:H61">F38/E38*100</f>
        <v>358.46268656716416</v>
      </c>
      <c r="I38" s="205">
        <f>F38-D38</f>
        <v>140.17</v>
      </c>
      <c r="J38" s="205">
        <f>F38/D38*100</f>
        <v>240.17</v>
      </c>
      <c r="K38" s="205">
        <f>F38-100.4</f>
        <v>139.76999999999998</v>
      </c>
      <c r="L38" s="205">
        <f>F38/100.4*100</f>
        <v>239.21314741035852</v>
      </c>
      <c r="M38" s="204">
        <f>E38-травень!E38</f>
        <v>3</v>
      </c>
      <c r="N38" s="208">
        <f>F38-травень!F38</f>
        <v>0</v>
      </c>
      <c r="O38" s="207">
        <f>N38-M38</f>
        <v>-3</v>
      </c>
      <c r="P38" s="205">
        <f aca="true" t="shared" si="8" ref="P38:P61">N38/M38*100</f>
        <v>0</v>
      </c>
      <c r="Q38" s="42"/>
      <c r="R38" s="100"/>
    </row>
    <row r="39" spans="1:18" s="6" customFormat="1" ht="30.75">
      <c r="A39" s="8"/>
      <c r="B39" s="144" t="s">
        <v>80</v>
      </c>
      <c r="C39" s="47">
        <v>21050000</v>
      </c>
      <c r="D39" s="190">
        <v>10000</v>
      </c>
      <c r="E39" s="190">
        <v>6537</v>
      </c>
      <c r="F39" s="197">
        <v>13895.81</v>
      </c>
      <c r="G39" s="202">
        <f aca="true" t="shared" si="9" ref="G39:G62">F39-E39</f>
        <v>7358.8099999999995</v>
      </c>
      <c r="H39" s="204">
        <f t="shared" si="7"/>
        <v>212.57166896129723</v>
      </c>
      <c r="I39" s="205">
        <f aca="true" t="shared" si="10" ref="I39:I62">F39-D39</f>
        <v>3895.8099999999995</v>
      </c>
      <c r="J39" s="205">
        <f>F39/D39*100</f>
        <v>138.9581</v>
      </c>
      <c r="K39" s="205">
        <f>F39-0</f>
        <v>13895.81</v>
      </c>
      <c r="L39" s="205"/>
      <c r="M39" s="204">
        <f>E39-травень!E39</f>
        <v>1000</v>
      </c>
      <c r="N39" s="208">
        <f>F39-травень!F39</f>
        <v>3797.08</v>
      </c>
      <c r="O39" s="207">
        <f aca="true" t="shared" si="11" ref="O39:O62">N39-M39</f>
        <v>2797.08</v>
      </c>
      <c r="P39" s="205">
        <f t="shared" si="8"/>
        <v>379.70799999999997</v>
      </c>
      <c r="Q39" s="42"/>
      <c r="R39" s="100"/>
    </row>
    <row r="40" spans="1:18" s="6" customFormat="1" ht="18">
      <c r="A40" s="8"/>
      <c r="B40" s="144" t="s">
        <v>62</v>
      </c>
      <c r="C40" s="47">
        <v>21080500</v>
      </c>
      <c r="D40" s="190">
        <v>400</v>
      </c>
      <c r="E40" s="190">
        <v>111.44</v>
      </c>
      <c r="F40" s="197">
        <v>28.07</v>
      </c>
      <c r="G40" s="202">
        <f t="shared" si="9"/>
        <v>-83.37</v>
      </c>
      <c r="H40" s="204">
        <f t="shared" si="7"/>
        <v>25.18844221105528</v>
      </c>
      <c r="I40" s="205">
        <f t="shared" si="10"/>
        <v>-371.93</v>
      </c>
      <c r="J40" s="205">
        <f aca="true" t="shared" si="12" ref="J40:J61">F40/D40*100</f>
        <v>7.0175</v>
      </c>
      <c r="K40" s="205">
        <f>F40-188.18</f>
        <v>-160.11</v>
      </c>
      <c r="L40" s="205">
        <f>F40/188.18*100</f>
        <v>14.9165692422149</v>
      </c>
      <c r="M40" s="204">
        <f>E40-травень!E40</f>
        <v>20</v>
      </c>
      <c r="N40" s="208">
        <f>F40-травень!F40</f>
        <v>0.5599999999999987</v>
      </c>
      <c r="O40" s="207">
        <f t="shared" si="11"/>
        <v>-19.44</v>
      </c>
      <c r="P40" s="205">
        <f t="shared" si="8"/>
        <v>2.7999999999999936</v>
      </c>
      <c r="Q40" s="42"/>
      <c r="R40" s="100"/>
    </row>
    <row r="41" spans="1:18" s="6" customFormat="1" ht="31.5">
      <c r="A41" s="8"/>
      <c r="B41" s="27" t="s">
        <v>40</v>
      </c>
      <c r="C41" s="76">
        <v>21080900</v>
      </c>
      <c r="D41" s="190">
        <f>6.5-6.5</f>
        <v>0</v>
      </c>
      <c r="E41" s="190">
        <v>0</v>
      </c>
      <c r="F41" s="197">
        <v>0.1</v>
      </c>
      <c r="G41" s="202">
        <f t="shared" si="9"/>
        <v>0.1</v>
      </c>
      <c r="H41" s="204"/>
      <c r="I41" s="205">
        <f t="shared" si="10"/>
        <v>0.1</v>
      </c>
      <c r="J41" s="205"/>
      <c r="K41" s="205">
        <f>F41-0</f>
        <v>0.1</v>
      </c>
      <c r="L41" s="205"/>
      <c r="M41" s="204">
        <f>E41-травень!E41</f>
        <v>0</v>
      </c>
      <c r="N41" s="208">
        <f>F41-травень!F41</f>
        <v>0</v>
      </c>
      <c r="O41" s="207">
        <f t="shared" si="11"/>
        <v>0</v>
      </c>
      <c r="P41" s="205"/>
      <c r="Q41" s="42"/>
      <c r="R41" s="100"/>
    </row>
    <row r="42" spans="1:18" s="6" customFormat="1" ht="18">
      <c r="A42" s="8"/>
      <c r="B42" s="145" t="s">
        <v>16</v>
      </c>
      <c r="C42" s="77">
        <v>21081100</v>
      </c>
      <c r="D42" s="190">
        <v>150</v>
      </c>
      <c r="E42" s="190">
        <v>60</v>
      </c>
      <c r="F42" s="197">
        <v>60.97</v>
      </c>
      <c r="G42" s="202">
        <f t="shared" si="9"/>
        <v>0.9699999999999989</v>
      </c>
      <c r="H42" s="204">
        <f t="shared" si="7"/>
        <v>101.61666666666666</v>
      </c>
      <c r="I42" s="205">
        <f t="shared" si="10"/>
        <v>-89.03</v>
      </c>
      <c r="J42" s="205">
        <f t="shared" si="12"/>
        <v>40.64666666666666</v>
      </c>
      <c r="K42" s="205">
        <f>F42-81.62</f>
        <v>-20.650000000000006</v>
      </c>
      <c r="L42" s="205">
        <f>F42/81.62*100</f>
        <v>74.69982847341338</v>
      </c>
      <c r="M42" s="204">
        <f>E42-травень!E42</f>
        <v>10</v>
      </c>
      <c r="N42" s="208">
        <f>F42-травень!F42</f>
        <v>10.57</v>
      </c>
      <c r="O42" s="207">
        <f t="shared" si="11"/>
        <v>0.5700000000000003</v>
      </c>
      <c r="P42" s="205">
        <f t="shared" si="8"/>
        <v>105.69999999999999</v>
      </c>
      <c r="Q42" s="42"/>
      <c r="R42" s="100"/>
    </row>
    <row r="43" spans="1:18" s="6" customFormat="1" ht="46.5">
      <c r="A43" s="8"/>
      <c r="B43" s="145" t="s">
        <v>83</v>
      </c>
      <c r="C43" s="77">
        <v>21081500</v>
      </c>
      <c r="D43" s="190">
        <v>0</v>
      </c>
      <c r="E43" s="190">
        <v>0</v>
      </c>
      <c r="F43" s="197">
        <v>13.6</v>
      </c>
      <c r="G43" s="202">
        <f t="shared" si="9"/>
        <v>13.6</v>
      </c>
      <c r="H43" s="204"/>
      <c r="I43" s="205">
        <f t="shared" si="10"/>
        <v>13.6</v>
      </c>
      <c r="J43" s="205"/>
      <c r="K43" s="205">
        <f>F43-2.5</f>
        <v>11.1</v>
      </c>
      <c r="L43" s="205">
        <f>F43/2.5*100</f>
        <v>544</v>
      </c>
      <c r="M43" s="204">
        <f>E43-травень!E43</f>
        <v>0</v>
      </c>
      <c r="N43" s="208">
        <f>F43-травень!F43</f>
        <v>6.8</v>
      </c>
      <c r="O43" s="207"/>
      <c r="P43" s="205"/>
      <c r="Q43" s="42"/>
      <c r="R43" s="100"/>
    </row>
    <row r="44" spans="1:18" s="6" customFormat="1" ht="30.75">
      <c r="A44" s="8"/>
      <c r="B44" s="145" t="s">
        <v>124</v>
      </c>
      <c r="C44" s="54">
        <v>22010300</v>
      </c>
      <c r="D44" s="190">
        <v>90</v>
      </c>
      <c r="E44" s="190">
        <v>40</v>
      </c>
      <c r="F44" s="197">
        <v>168.08</v>
      </c>
      <c r="G44" s="202">
        <f t="shared" si="9"/>
        <v>128.08</v>
      </c>
      <c r="H44" s="204">
        <f t="shared" si="7"/>
        <v>420.2</v>
      </c>
      <c r="I44" s="205">
        <f t="shared" si="10"/>
        <v>78.08000000000001</v>
      </c>
      <c r="J44" s="205">
        <f t="shared" si="12"/>
        <v>186.75555555555556</v>
      </c>
      <c r="K44" s="205">
        <f>F44-0</f>
        <v>168.08</v>
      </c>
      <c r="L44" s="205"/>
      <c r="M44" s="204">
        <f>E44-травень!E44</f>
        <v>8</v>
      </c>
      <c r="N44" s="208">
        <f>F44-травень!F44</f>
        <v>91.75000000000001</v>
      </c>
      <c r="O44" s="207">
        <f t="shared" si="11"/>
        <v>83.75000000000001</v>
      </c>
      <c r="P44" s="205">
        <f t="shared" si="8"/>
        <v>1146.8750000000002</v>
      </c>
      <c r="Q44" s="42"/>
      <c r="R44" s="100"/>
    </row>
    <row r="45" spans="1:18" s="6" customFormat="1" ht="18" hidden="1">
      <c r="A45" s="8"/>
      <c r="B45" s="145"/>
      <c r="C45" s="54"/>
      <c r="D45" s="190"/>
      <c r="E45" s="190"/>
      <c r="F45" s="197"/>
      <c r="G45" s="202"/>
      <c r="H45" s="204"/>
      <c r="I45" s="205"/>
      <c r="J45" s="205"/>
      <c r="K45" s="205"/>
      <c r="L45" s="205"/>
      <c r="M45" s="204">
        <f>E45-травень!E45</f>
        <v>0</v>
      </c>
      <c r="N45" s="208">
        <f>F45-травень!F45</f>
        <v>0</v>
      </c>
      <c r="O45" s="207"/>
      <c r="P45" s="205"/>
      <c r="Q45" s="42"/>
      <c r="R45" s="100"/>
    </row>
    <row r="46" spans="1:18" s="6" customFormat="1" ht="18">
      <c r="A46" s="8"/>
      <c r="B46" s="35" t="s">
        <v>81</v>
      </c>
      <c r="C46" s="77">
        <v>22012500</v>
      </c>
      <c r="D46" s="190">
        <v>9900</v>
      </c>
      <c r="E46" s="190">
        <v>4539.02</v>
      </c>
      <c r="F46" s="197">
        <v>5001.06</v>
      </c>
      <c r="G46" s="202">
        <f t="shared" si="9"/>
        <v>462.03999999999996</v>
      </c>
      <c r="H46" s="204">
        <f t="shared" si="7"/>
        <v>110.17928980264462</v>
      </c>
      <c r="I46" s="205">
        <f t="shared" si="10"/>
        <v>-4898.94</v>
      </c>
      <c r="J46" s="205">
        <f t="shared" si="12"/>
        <v>50.51575757575758</v>
      </c>
      <c r="K46" s="205">
        <f>F46-4927.6</f>
        <v>73.46000000000004</v>
      </c>
      <c r="L46" s="205">
        <f>F46/4927.6*100</f>
        <v>101.4907865898206</v>
      </c>
      <c r="M46" s="204">
        <f>E46-травень!E46</f>
        <v>800.0000000000005</v>
      </c>
      <c r="N46" s="208">
        <f>F46-травень!F46</f>
        <v>943.6500000000005</v>
      </c>
      <c r="O46" s="207">
        <f t="shared" si="11"/>
        <v>143.6500000000001</v>
      </c>
      <c r="P46" s="205">
        <f t="shared" si="8"/>
        <v>117.95625000000001</v>
      </c>
      <c r="Q46" s="42"/>
      <c r="R46" s="100"/>
    </row>
    <row r="47" spans="1:18" s="6" customFormat="1" ht="31.5">
      <c r="A47" s="8"/>
      <c r="B47" s="35" t="s">
        <v>111</v>
      </c>
      <c r="C47" s="77">
        <v>22012600</v>
      </c>
      <c r="D47" s="190">
        <v>1500</v>
      </c>
      <c r="E47" s="190">
        <v>650</v>
      </c>
      <c r="F47" s="197">
        <v>68.92</v>
      </c>
      <c r="G47" s="202">
        <f t="shared" si="9"/>
        <v>-581.08</v>
      </c>
      <c r="H47" s="204">
        <f t="shared" si="7"/>
        <v>10.603076923076923</v>
      </c>
      <c r="I47" s="205">
        <f t="shared" si="10"/>
        <v>-1431.08</v>
      </c>
      <c r="J47" s="205">
        <f t="shared" si="12"/>
        <v>4.594666666666667</v>
      </c>
      <c r="K47" s="205">
        <f>F47-0</f>
        <v>68.92</v>
      </c>
      <c r="L47" s="205"/>
      <c r="M47" s="204">
        <f>E47-травень!E47</f>
        <v>130</v>
      </c>
      <c r="N47" s="208">
        <f>F47-травень!F47</f>
        <v>34.99</v>
      </c>
      <c r="O47" s="207">
        <f t="shared" si="11"/>
        <v>-95.00999999999999</v>
      </c>
      <c r="P47" s="205">
        <f t="shared" si="8"/>
        <v>26.915384615384617</v>
      </c>
      <c r="Q47" s="42"/>
      <c r="R47" s="100"/>
    </row>
    <row r="48" spans="1:18" s="6" customFormat="1" ht="31.5">
      <c r="A48" s="8"/>
      <c r="B48" s="35" t="s">
        <v>125</v>
      </c>
      <c r="C48" s="77">
        <v>22012900</v>
      </c>
      <c r="D48" s="190">
        <v>50</v>
      </c>
      <c r="E48" s="190">
        <v>20</v>
      </c>
      <c r="F48" s="197">
        <v>8.54</v>
      </c>
      <c r="G48" s="202">
        <f t="shared" si="9"/>
        <v>-11.46</v>
      </c>
      <c r="H48" s="204">
        <f t="shared" si="7"/>
        <v>42.699999999999996</v>
      </c>
      <c r="I48" s="205">
        <f t="shared" si="10"/>
        <v>-41.46</v>
      </c>
      <c r="J48" s="205">
        <f t="shared" si="12"/>
        <v>17.08</v>
      </c>
      <c r="K48" s="205">
        <f>F48-0</f>
        <v>8.54</v>
      </c>
      <c r="L48" s="205"/>
      <c r="M48" s="204">
        <f>E48-травень!E48</f>
        <v>4</v>
      </c>
      <c r="N48" s="208">
        <f>F48-травень!F48</f>
        <v>0.8199999999999994</v>
      </c>
      <c r="O48" s="207">
        <f t="shared" si="11"/>
        <v>-3.1800000000000006</v>
      </c>
      <c r="P48" s="205">
        <f t="shared" si="8"/>
        <v>20.499999999999986</v>
      </c>
      <c r="Q48" s="42"/>
      <c r="R48" s="100"/>
    </row>
    <row r="49" spans="1:18" s="6" customFormat="1" ht="30.75">
      <c r="A49" s="8"/>
      <c r="B49" s="145" t="s">
        <v>14</v>
      </c>
      <c r="C49" s="54">
        <v>22080400</v>
      </c>
      <c r="D49" s="190">
        <v>8500</v>
      </c>
      <c r="E49" s="190">
        <v>3966.23</v>
      </c>
      <c r="F49" s="197">
        <v>3928.05</v>
      </c>
      <c r="G49" s="202">
        <f t="shared" si="9"/>
        <v>-38.179999999999836</v>
      </c>
      <c r="H49" s="204">
        <f t="shared" si="7"/>
        <v>99.037373021736</v>
      </c>
      <c r="I49" s="205">
        <f t="shared" si="10"/>
        <v>-4571.95</v>
      </c>
      <c r="J49" s="205">
        <f t="shared" si="12"/>
        <v>46.21235294117647</v>
      </c>
      <c r="K49" s="205">
        <f>F49-4302.71</f>
        <v>-374.65999999999985</v>
      </c>
      <c r="L49" s="205">
        <f>F49/4302.71*100</f>
        <v>91.29246451654888</v>
      </c>
      <c r="M49" s="204">
        <f>E49-травень!E49</f>
        <v>650</v>
      </c>
      <c r="N49" s="208">
        <f>F49-травень!F49</f>
        <v>623.8100000000004</v>
      </c>
      <c r="O49" s="207">
        <f t="shared" si="11"/>
        <v>-26.1899999999996</v>
      </c>
      <c r="P49" s="205">
        <f t="shared" si="8"/>
        <v>95.97076923076929</v>
      </c>
      <c r="Q49" s="42"/>
      <c r="R49" s="100"/>
    </row>
    <row r="50" spans="1:18" s="6" customFormat="1" ht="18">
      <c r="A50" s="8"/>
      <c r="B50" s="145" t="s">
        <v>15</v>
      </c>
      <c r="C50" s="48">
        <v>22090000</v>
      </c>
      <c r="D50" s="190">
        <v>7300</v>
      </c>
      <c r="E50" s="190">
        <v>3219.19</v>
      </c>
      <c r="F50" s="197">
        <v>3094.63</v>
      </c>
      <c r="G50" s="202">
        <f t="shared" si="9"/>
        <v>-124.55999999999995</v>
      </c>
      <c r="H50" s="204">
        <f t="shared" si="7"/>
        <v>96.13070368633103</v>
      </c>
      <c r="I50" s="205">
        <f t="shared" si="10"/>
        <v>-4205.37</v>
      </c>
      <c r="J50" s="205">
        <f t="shared" si="12"/>
        <v>42.39219178082192</v>
      </c>
      <c r="K50" s="205">
        <f>F50-4033.24</f>
        <v>-938.6099999999997</v>
      </c>
      <c r="L50" s="205">
        <f>F50/4033.24*100</f>
        <v>76.7281391635509</v>
      </c>
      <c r="M50" s="204">
        <f>E50-травень!E50</f>
        <v>666</v>
      </c>
      <c r="N50" s="208">
        <f>F50-травень!F50</f>
        <v>521.1700000000001</v>
      </c>
      <c r="O50" s="207">
        <f t="shared" si="11"/>
        <v>-144.82999999999993</v>
      </c>
      <c r="P50" s="205">
        <f t="shared" si="8"/>
        <v>78.25375375375376</v>
      </c>
      <c r="Q50" s="42"/>
      <c r="R50" s="100"/>
    </row>
    <row r="51" spans="1:18" s="6" customFormat="1" ht="15">
      <c r="A51" s="8"/>
      <c r="B51" s="55" t="s">
        <v>101</v>
      </c>
      <c r="C51" s="138">
        <v>22090100</v>
      </c>
      <c r="D51" s="109">
        <v>1100</v>
      </c>
      <c r="E51" s="109">
        <v>551.99</v>
      </c>
      <c r="F51" s="111">
        <v>420.67</v>
      </c>
      <c r="G51" s="36">
        <f t="shared" si="9"/>
        <v>-131.32</v>
      </c>
      <c r="H51" s="32">
        <f t="shared" si="7"/>
        <v>76.2097139440932</v>
      </c>
      <c r="I51" s="110">
        <f t="shared" si="10"/>
        <v>-679.3299999999999</v>
      </c>
      <c r="J51" s="110">
        <f t="shared" si="12"/>
        <v>38.24272727272727</v>
      </c>
      <c r="K51" s="110">
        <f>F51-582.74</f>
        <v>-162.07</v>
      </c>
      <c r="L51" s="110">
        <f>F51/582.74*100</f>
        <v>72.18828293921817</v>
      </c>
      <c r="M51" s="111">
        <f>E51-травень!E51</f>
        <v>185</v>
      </c>
      <c r="N51" s="179">
        <f>F51-травень!F51</f>
        <v>53.120000000000005</v>
      </c>
      <c r="O51" s="112">
        <f t="shared" si="11"/>
        <v>-131.88</v>
      </c>
      <c r="P51" s="132">
        <f t="shared" si="8"/>
        <v>28.713513513513515</v>
      </c>
      <c r="Q51" s="42"/>
      <c r="R51" s="100"/>
    </row>
    <row r="52" spans="1:18" s="6" customFormat="1" ht="15">
      <c r="A52" s="8"/>
      <c r="B52" s="55" t="s">
        <v>98</v>
      </c>
      <c r="C52" s="138">
        <v>22090200</v>
      </c>
      <c r="D52" s="109">
        <v>45</v>
      </c>
      <c r="E52" s="109">
        <v>5.04</v>
      </c>
      <c r="F52" s="111">
        <v>0.24</v>
      </c>
      <c r="G52" s="36">
        <f t="shared" si="9"/>
        <v>-4.8</v>
      </c>
      <c r="H52" s="32">
        <f t="shared" si="7"/>
        <v>4.761904761904762</v>
      </c>
      <c r="I52" s="110">
        <f t="shared" si="10"/>
        <v>-44.76</v>
      </c>
      <c r="J52" s="110">
        <f t="shared" si="12"/>
        <v>0.5333333333333333</v>
      </c>
      <c r="K52" s="110">
        <f>F52-45.15</f>
        <v>-44.91</v>
      </c>
      <c r="L52" s="110">
        <f>F52/45.15*100</f>
        <v>0.53156146179402</v>
      </c>
      <c r="M52" s="111">
        <f>E52-травень!E52</f>
        <v>1</v>
      </c>
      <c r="N52" s="179">
        <f>F52-травень!F52</f>
        <v>0.009999999999999981</v>
      </c>
      <c r="O52" s="112">
        <f t="shared" si="11"/>
        <v>-0.99</v>
      </c>
      <c r="P52" s="132">
        <f t="shared" si="8"/>
        <v>0.9999999999999981</v>
      </c>
      <c r="Q52" s="42"/>
      <c r="R52" s="100"/>
    </row>
    <row r="53" spans="1:18" s="6" customFormat="1" ht="15">
      <c r="A53" s="8"/>
      <c r="B53" s="55" t="s">
        <v>99</v>
      </c>
      <c r="C53" s="138">
        <v>22090300</v>
      </c>
      <c r="D53" s="109">
        <v>1</v>
      </c>
      <c r="E53" s="109">
        <v>0</v>
      </c>
      <c r="F53" s="111">
        <v>0.02</v>
      </c>
      <c r="G53" s="36">
        <f t="shared" si="9"/>
        <v>0.02</v>
      </c>
      <c r="H53" s="32"/>
      <c r="I53" s="110">
        <f t="shared" si="10"/>
        <v>-0.98</v>
      </c>
      <c r="J53" s="110">
        <f t="shared" si="12"/>
        <v>2</v>
      </c>
      <c r="K53" s="110">
        <f>F53-0.75</f>
        <v>-0.73</v>
      </c>
      <c r="L53" s="110">
        <f>F53/0.75*100</f>
        <v>2.666666666666667</v>
      </c>
      <c r="M53" s="111">
        <f>E53-травень!E53</f>
        <v>0</v>
      </c>
      <c r="N53" s="179">
        <f>F53-травень!F53</f>
        <v>0</v>
      </c>
      <c r="O53" s="112">
        <f t="shared" si="11"/>
        <v>0</v>
      </c>
      <c r="P53" s="132"/>
      <c r="Q53" s="42"/>
      <c r="R53" s="100"/>
    </row>
    <row r="54" spans="1:18" s="6" customFormat="1" ht="15">
      <c r="A54" s="8"/>
      <c r="B54" s="55" t="s">
        <v>100</v>
      </c>
      <c r="C54" s="138">
        <v>22090400</v>
      </c>
      <c r="D54" s="109">
        <v>6154</v>
      </c>
      <c r="E54" s="109">
        <v>2662.17</v>
      </c>
      <c r="F54" s="111">
        <v>2673.71</v>
      </c>
      <c r="G54" s="36">
        <f t="shared" si="9"/>
        <v>11.539999999999964</v>
      </c>
      <c r="H54" s="32">
        <f t="shared" si="7"/>
        <v>100.43348095726418</v>
      </c>
      <c r="I54" s="110">
        <f t="shared" si="10"/>
        <v>-3480.29</v>
      </c>
      <c r="J54" s="110">
        <f t="shared" si="12"/>
        <v>43.44670133246669</v>
      </c>
      <c r="K54" s="110">
        <f>F54-3404.6</f>
        <v>-730.8899999999999</v>
      </c>
      <c r="L54" s="110">
        <f>F54/3404.6*100</f>
        <v>78.53227985666452</v>
      </c>
      <c r="M54" s="111">
        <f>E54-травень!E54</f>
        <v>480</v>
      </c>
      <c r="N54" s="179">
        <f>F54-травень!F54</f>
        <v>468.03999999999996</v>
      </c>
      <c r="O54" s="112">
        <f t="shared" si="11"/>
        <v>-11.960000000000036</v>
      </c>
      <c r="P54" s="132">
        <f t="shared" si="8"/>
        <v>97.50833333333333</v>
      </c>
      <c r="Q54" s="42"/>
      <c r="R54" s="100"/>
    </row>
    <row r="55" spans="1:18" s="6" customFormat="1" ht="46.5">
      <c r="A55" s="8"/>
      <c r="B55" s="13" t="s">
        <v>17</v>
      </c>
      <c r="C55" s="11" t="s">
        <v>18</v>
      </c>
      <c r="D55" s="190">
        <v>10</v>
      </c>
      <c r="E55" s="190">
        <v>0.17</v>
      </c>
      <c r="F55" s="197">
        <v>2.46</v>
      </c>
      <c r="G55" s="202">
        <f t="shared" si="9"/>
        <v>2.29</v>
      </c>
      <c r="H55" s="204">
        <f t="shared" si="7"/>
        <v>1447.0588235294117</v>
      </c>
      <c r="I55" s="205">
        <f t="shared" si="10"/>
        <v>-7.54</v>
      </c>
      <c r="J55" s="205">
        <f t="shared" si="12"/>
        <v>24.6</v>
      </c>
      <c r="K55" s="205">
        <f>F55-0</f>
        <v>2.46</v>
      </c>
      <c r="L55" s="205"/>
      <c r="M55" s="204">
        <f>E55-травень!E55</f>
        <v>0</v>
      </c>
      <c r="N55" s="208">
        <f>F55-травень!F55</f>
        <v>0</v>
      </c>
      <c r="O55" s="207">
        <f t="shared" si="11"/>
        <v>0</v>
      </c>
      <c r="P55" s="205"/>
      <c r="Q55" s="42"/>
      <c r="R55" s="100"/>
    </row>
    <row r="56" spans="1:18" s="6" customFormat="1" ht="15.75" customHeight="1">
      <c r="A56" s="8"/>
      <c r="B56" s="146" t="s">
        <v>13</v>
      </c>
      <c r="C56" s="11" t="s">
        <v>19</v>
      </c>
      <c r="D56" s="190">
        <v>4800</v>
      </c>
      <c r="E56" s="190">
        <v>2267.98</v>
      </c>
      <c r="F56" s="197">
        <v>2709.14</v>
      </c>
      <c r="G56" s="202">
        <f t="shared" si="9"/>
        <v>441.15999999999985</v>
      </c>
      <c r="H56" s="204">
        <f t="shared" si="7"/>
        <v>119.45167064965298</v>
      </c>
      <c r="I56" s="205">
        <f t="shared" si="10"/>
        <v>-2090.86</v>
      </c>
      <c r="J56" s="205">
        <f t="shared" si="12"/>
        <v>56.44041666666666</v>
      </c>
      <c r="K56" s="205">
        <f>F56-2236.15</f>
        <v>472.9899999999998</v>
      </c>
      <c r="L56" s="205">
        <f>F56/2236.15*100</f>
        <v>121.15197996556581</v>
      </c>
      <c r="M56" s="204">
        <f>E56-травень!E56</f>
        <v>400</v>
      </c>
      <c r="N56" s="208">
        <f>F56-травень!F56</f>
        <v>389.02999999999975</v>
      </c>
      <c r="O56" s="207">
        <f t="shared" si="11"/>
        <v>-10.970000000000255</v>
      </c>
      <c r="P56" s="205">
        <f t="shared" si="8"/>
        <v>97.25749999999994</v>
      </c>
      <c r="Q56" s="42"/>
      <c r="R56" s="100"/>
    </row>
    <row r="57" spans="1:18" s="6" customFormat="1" ht="18" hidden="1">
      <c r="A57" s="8"/>
      <c r="B57" s="12" t="s">
        <v>22</v>
      </c>
      <c r="C57" s="66" t="s">
        <v>23</v>
      </c>
      <c r="D57" s="33">
        <v>0</v>
      </c>
      <c r="E57" s="33">
        <v>0</v>
      </c>
      <c r="F57" s="32">
        <v>0</v>
      </c>
      <c r="G57" s="202">
        <f t="shared" si="9"/>
        <v>0</v>
      </c>
      <c r="H57" s="204" t="e">
        <f t="shared" si="7"/>
        <v>#DIV/0!</v>
      </c>
      <c r="I57" s="205">
        <f t="shared" si="10"/>
        <v>0</v>
      </c>
      <c r="J57" s="205" t="e">
        <f t="shared" si="12"/>
        <v>#DIV/0!</v>
      </c>
      <c r="K57" s="205"/>
      <c r="L57" s="205">
        <f>F57</f>
        <v>0</v>
      </c>
      <c r="M57" s="204">
        <f>E57-квітень!E53</f>
        <v>0</v>
      </c>
      <c r="N57" s="208">
        <f>F57-квітень!F53</f>
        <v>0</v>
      </c>
      <c r="O57" s="207">
        <f t="shared" si="11"/>
        <v>0</v>
      </c>
      <c r="P57" s="205" t="e">
        <f t="shared" si="8"/>
        <v>#DIV/0!</v>
      </c>
      <c r="Q57" s="42"/>
      <c r="R57" s="100"/>
    </row>
    <row r="58" spans="1:18" s="6" customFormat="1" ht="30.75">
      <c r="A58" s="8"/>
      <c r="B58" s="55" t="s">
        <v>43</v>
      </c>
      <c r="C58" s="66"/>
      <c r="D58" s="109"/>
      <c r="E58" s="109"/>
      <c r="F58" s="236">
        <f>591.66+0.6</f>
        <v>592.26</v>
      </c>
      <c r="G58" s="202"/>
      <c r="H58" s="204"/>
      <c r="I58" s="205"/>
      <c r="J58" s="205"/>
      <c r="K58" s="206">
        <f>F58-577.4</f>
        <v>14.860000000000014</v>
      </c>
      <c r="L58" s="206">
        <f>F58/577.4*100</f>
        <v>102.57360581918947</v>
      </c>
      <c r="M58" s="236"/>
      <c r="N58" s="220">
        <f>F58-травень!F58</f>
        <v>113.58999999999997</v>
      </c>
      <c r="O58" s="206"/>
      <c r="P58" s="205"/>
      <c r="Q58" s="42"/>
      <c r="R58" s="100"/>
    </row>
    <row r="59" spans="1:18" s="6" customFormat="1" ht="18" hidden="1">
      <c r="A59" s="8"/>
      <c r="B59" s="146" t="s">
        <v>20</v>
      </c>
      <c r="C59" s="143" t="s">
        <v>21</v>
      </c>
      <c r="D59" s="36">
        <v>0</v>
      </c>
      <c r="E59" s="36">
        <v>0</v>
      </c>
      <c r="F59" s="152">
        <v>0</v>
      </c>
      <c r="G59" s="202">
        <f t="shared" si="9"/>
        <v>0</v>
      </c>
      <c r="H59" s="204"/>
      <c r="I59" s="205">
        <f t="shared" si="10"/>
        <v>0</v>
      </c>
      <c r="J59" s="205"/>
      <c r="K59" s="206"/>
      <c r="L59" s="206"/>
      <c r="M59" s="204">
        <f>E59-квітень!E55</f>
        <v>0</v>
      </c>
      <c r="N59" s="208">
        <f>F59-квітень!F55</f>
        <v>0</v>
      </c>
      <c r="O59" s="207">
        <f t="shared" si="11"/>
        <v>0</v>
      </c>
      <c r="P59" s="205"/>
      <c r="Q59" s="42"/>
      <c r="R59" s="100"/>
    </row>
    <row r="60" spans="1:18" s="6" customFormat="1" ht="44.25" customHeight="1">
      <c r="A60" s="8"/>
      <c r="B60" s="146" t="s">
        <v>44</v>
      </c>
      <c r="C60" s="48">
        <v>24061900</v>
      </c>
      <c r="D60" s="190">
        <v>20</v>
      </c>
      <c r="E60" s="190">
        <v>20</v>
      </c>
      <c r="F60" s="197">
        <v>41.05</v>
      </c>
      <c r="G60" s="202">
        <f t="shared" si="9"/>
        <v>21.049999999999997</v>
      </c>
      <c r="H60" s="204">
        <f t="shared" si="7"/>
        <v>205.24999999999997</v>
      </c>
      <c r="I60" s="205">
        <f t="shared" si="10"/>
        <v>21.049999999999997</v>
      </c>
      <c r="J60" s="205">
        <f t="shared" si="12"/>
        <v>205.24999999999997</v>
      </c>
      <c r="K60" s="205">
        <f>F60-0.6</f>
        <v>40.449999999999996</v>
      </c>
      <c r="L60" s="205">
        <f>F60/0.6*100</f>
        <v>6841.666666666667</v>
      </c>
      <c r="M60" s="204">
        <f>E60-травень!E60</f>
        <v>0</v>
      </c>
      <c r="N60" s="208">
        <f>F60-травень!F60</f>
        <v>0</v>
      </c>
      <c r="O60" s="207">
        <f t="shared" si="11"/>
        <v>0</v>
      </c>
      <c r="P60" s="205"/>
      <c r="Q60" s="42"/>
      <c r="R60" s="100"/>
    </row>
    <row r="61" spans="1:18" s="6" customFormat="1" ht="30.75">
      <c r="A61" s="8"/>
      <c r="B61" s="12" t="s">
        <v>45</v>
      </c>
      <c r="C61" s="48">
        <v>31010200</v>
      </c>
      <c r="D61" s="190">
        <v>30</v>
      </c>
      <c r="E61" s="190">
        <v>12.2</v>
      </c>
      <c r="F61" s="197">
        <v>13.52</v>
      </c>
      <c r="G61" s="202">
        <f t="shared" si="9"/>
        <v>1.3200000000000003</v>
      </c>
      <c r="H61" s="204">
        <f t="shared" si="7"/>
        <v>110.81967213114754</v>
      </c>
      <c r="I61" s="205">
        <f t="shared" si="10"/>
        <v>-16.48</v>
      </c>
      <c r="J61" s="205">
        <f t="shared" si="12"/>
        <v>45.06666666666666</v>
      </c>
      <c r="K61" s="205">
        <f>F61-6.52</f>
        <v>7</v>
      </c>
      <c r="L61" s="205">
        <f>F61/6.52*100</f>
        <v>207.36196319018404</v>
      </c>
      <c r="M61" s="204">
        <f>E61-травень!E61</f>
        <v>2.299999999999999</v>
      </c>
      <c r="N61" s="208">
        <f>F61-травень!F61</f>
        <v>0</v>
      </c>
      <c r="O61" s="207">
        <f t="shared" si="11"/>
        <v>-2.299999999999999</v>
      </c>
      <c r="P61" s="205">
        <f t="shared" si="8"/>
        <v>0</v>
      </c>
      <c r="Q61" s="42"/>
      <c r="R61" s="100"/>
    </row>
    <row r="62" spans="1:18" s="6" customFormat="1" ht="30.75">
      <c r="A62" s="8"/>
      <c r="B62" s="12" t="s">
        <v>58</v>
      </c>
      <c r="C62" s="48">
        <v>31020000</v>
      </c>
      <c r="D62" s="190">
        <v>0.6</v>
      </c>
      <c r="E62" s="190">
        <v>0</v>
      </c>
      <c r="F62" s="197">
        <v>0.4</v>
      </c>
      <c r="G62" s="202">
        <f t="shared" si="9"/>
        <v>0.4</v>
      </c>
      <c r="H62" s="204"/>
      <c r="I62" s="205">
        <f t="shared" si="10"/>
        <v>-0.19999999999999996</v>
      </c>
      <c r="J62" s="205"/>
      <c r="K62" s="205">
        <f>F62-0.02</f>
        <v>0.38</v>
      </c>
      <c r="L62" s="205"/>
      <c r="M62" s="204">
        <f>E62-травень!E62</f>
        <v>0</v>
      </c>
      <c r="N62" s="208">
        <f>F62-травень!F62</f>
        <v>0</v>
      </c>
      <c r="O62" s="207">
        <f t="shared" si="11"/>
        <v>0</v>
      </c>
      <c r="P62" s="205"/>
      <c r="Q62" s="42"/>
      <c r="R62" s="100"/>
    </row>
    <row r="63" spans="1:20" s="6" customFormat="1" ht="18">
      <c r="A63" s="9"/>
      <c r="B63" s="14" t="s">
        <v>28</v>
      </c>
      <c r="C63" s="67"/>
      <c r="D63" s="191">
        <f>D8+D37+D61+D62</f>
        <v>883900.6</v>
      </c>
      <c r="E63" s="191">
        <f>E8+E37+E61+E62</f>
        <v>441746.00999999995</v>
      </c>
      <c r="F63" s="253">
        <f>F8+F37+F61+F62</f>
        <v>494786</v>
      </c>
      <c r="G63" s="191">
        <f>F63-E63</f>
        <v>53039.99000000005</v>
      </c>
      <c r="H63" s="192">
        <f>F63/E63*100</f>
        <v>112.00689735714874</v>
      </c>
      <c r="I63" s="193">
        <f>F63-D63</f>
        <v>-389114.6</v>
      </c>
      <c r="J63" s="193">
        <f>F63/D63*100</f>
        <v>55.97756127781789</v>
      </c>
      <c r="K63" s="193">
        <f>F63-320998.67</f>
        <v>173787.33000000002</v>
      </c>
      <c r="L63" s="193">
        <f>F63/320998.67*100</f>
        <v>154.13957945682455</v>
      </c>
      <c r="M63" s="191">
        <f>M8+M37+M61+M62</f>
        <v>71492.59999999999</v>
      </c>
      <c r="N63" s="191">
        <f>N8+N37+N61+N62</f>
        <v>96936.71</v>
      </c>
      <c r="O63" s="195">
        <f>N63-M63</f>
        <v>25444.110000000015</v>
      </c>
      <c r="P63" s="193">
        <f>N63/M63*100</f>
        <v>135.58985125733295</v>
      </c>
      <c r="Q63" s="28">
        <f>N63-34768</f>
        <v>62168.71000000001</v>
      </c>
      <c r="R63" s="128">
        <f>N63/34768</f>
        <v>2.78810141509434</v>
      </c>
      <c r="T63" s="147"/>
    </row>
    <row r="64" spans="1:18" s="53" customFormat="1" ht="17.25" hidden="1">
      <c r="A64" s="50"/>
      <c r="B64" s="60"/>
      <c r="C64" s="68"/>
      <c r="D64" s="51"/>
      <c r="E64" s="51"/>
      <c r="F64" s="51"/>
      <c r="G64" s="82"/>
      <c r="H64" s="52"/>
      <c r="I64" s="59"/>
      <c r="J64" s="39"/>
      <c r="K64" s="39"/>
      <c r="L64" s="39"/>
      <c r="M64" s="52"/>
      <c r="N64" s="51"/>
      <c r="O64" s="85"/>
      <c r="P64" s="39"/>
      <c r="Q64" s="39"/>
      <c r="R64" s="102"/>
    </row>
    <row r="65" spans="1:18" s="53" customFormat="1" ht="17.25" hidden="1">
      <c r="A65" s="50"/>
      <c r="B65" s="61"/>
      <c r="C65" s="68"/>
      <c r="D65" s="62"/>
      <c r="E65" s="51"/>
      <c r="F65" s="51"/>
      <c r="G65" s="45"/>
      <c r="H65" s="52"/>
      <c r="I65" s="63"/>
      <c r="J65" s="39"/>
      <c r="K65" s="39"/>
      <c r="L65" s="39"/>
      <c r="M65" s="32"/>
      <c r="N65" s="51"/>
      <c r="O65" s="64"/>
      <c r="P65" s="39"/>
      <c r="Q65" s="39"/>
      <c r="R65" s="102"/>
    </row>
    <row r="66" spans="1:18" s="53" customFormat="1" ht="17.25" hidden="1">
      <c r="A66" s="50"/>
      <c r="B66" s="61"/>
      <c r="C66" s="68"/>
      <c r="D66" s="62"/>
      <c r="E66" s="36"/>
      <c r="F66" s="62"/>
      <c r="G66" s="45"/>
      <c r="H66" s="52"/>
      <c r="I66" s="63"/>
      <c r="J66" s="39"/>
      <c r="K66" s="39"/>
      <c r="L66" s="39"/>
      <c r="M66" s="32"/>
      <c r="N66" s="62"/>
      <c r="O66" s="85"/>
      <c r="P66" s="39"/>
      <c r="Q66" s="39"/>
      <c r="R66" s="102"/>
    </row>
    <row r="67" spans="2:18" ht="15">
      <c r="B67" s="22" t="s">
        <v>138</v>
      </c>
      <c r="C67" s="69"/>
      <c r="D67" s="25"/>
      <c r="E67" s="25"/>
      <c r="F67" s="25"/>
      <c r="G67" s="36"/>
      <c r="H67" s="32"/>
      <c r="I67" s="43"/>
      <c r="J67" s="43"/>
      <c r="K67" s="43"/>
      <c r="L67" s="43"/>
      <c r="M67" s="33"/>
      <c r="N67" s="181"/>
      <c r="O67" s="40"/>
      <c r="P67" s="43"/>
      <c r="Q67" s="43"/>
      <c r="R67" s="103"/>
    </row>
    <row r="68" spans="2:18" ht="25.5" customHeight="1">
      <c r="B68" s="149" t="s">
        <v>112</v>
      </c>
      <c r="C68" s="150">
        <v>12020000</v>
      </c>
      <c r="D68" s="221">
        <v>0</v>
      </c>
      <c r="E68" s="221"/>
      <c r="F68" s="221">
        <v>0.01</v>
      </c>
      <c r="G68" s="202"/>
      <c r="H68" s="204"/>
      <c r="I68" s="207"/>
      <c r="J68" s="207"/>
      <c r="K68" s="207">
        <f>F68-0</f>
        <v>0.01</v>
      </c>
      <c r="L68" s="207"/>
      <c r="M68" s="202"/>
      <c r="N68" s="223">
        <f>F68-травень!F68</f>
        <v>0</v>
      </c>
      <c r="O68" s="207"/>
      <c r="P68" s="207"/>
      <c r="Q68" s="43"/>
      <c r="R68" s="103"/>
    </row>
    <row r="69" spans="2:18" ht="31.5">
      <c r="B69" s="23" t="s">
        <v>63</v>
      </c>
      <c r="C69" s="78">
        <v>18041500</v>
      </c>
      <c r="D69" s="221">
        <v>0</v>
      </c>
      <c r="E69" s="221"/>
      <c r="F69" s="221">
        <v>-2.3</v>
      </c>
      <c r="G69" s="202">
        <f>F69-E69</f>
        <v>-2.3</v>
      </c>
      <c r="H69" s="204"/>
      <c r="I69" s="207">
        <f>F69-D69</f>
        <v>-2.3</v>
      </c>
      <c r="J69" s="207"/>
      <c r="K69" s="207">
        <f>F69-(-31.04)</f>
        <v>28.74</v>
      </c>
      <c r="L69" s="207">
        <f>F69/(-31.04)*100</f>
        <v>7.40979381443299</v>
      </c>
      <c r="M69" s="204"/>
      <c r="N69" s="223">
        <f>F69-травень!F69</f>
        <v>-2.03</v>
      </c>
      <c r="O69" s="207">
        <f>N69-M69</f>
        <v>-2.03</v>
      </c>
      <c r="P69" s="207"/>
      <c r="Q69" s="43"/>
      <c r="R69" s="103"/>
    </row>
    <row r="70" spans="2:18" ht="17.25">
      <c r="B70" s="29" t="s">
        <v>46</v>
      </c>
      <c r="C70" s="79"/>
      <c r="D70" s="224">
        <f>D69</f>
        <v>0</v>
      </c>
      <c r="E70" s="224">
        <f>E69</f>
        <v>0</v>
      </c>
      <c r="F70" s="224">
        <f>SUM(F68:F69)</f>
        <v>-2.29</v>
      </c>
      <c r="G70" s="226">
        <f>F70-E70</f>
        <v>-2.29</v>
      </c>
      <c r="H70" s="227"/>
      <c r="I70" s="228">
        <f>F70-D70</f>
        <v>-2.29</v>
      </c>
      <c r="J70" s="228"/>
      <c r="K70" s="228">
        <f>F70-(-31.04)</f>
        <v>28.75</v>
      </c>
      <c r="L70" s="228">
        <f>F70/(-31.04)*100</f>
        <v>7.377577319587629</v>
      </c>
      <c r="M70" s="226">
        <f>M69</f>
        <v>0</v>
      </c>
      <c r="N70" s="229">
        <f>SUM(N68:N69)</f>
        <v>-2.03</v>
      </c>
      <c r="O70" s="228">
        <f>N70-M70</f>
        <v>-2.03</v>
      </c>
      <c r="P70" s="228"/>
      <c r="Q70" s="44"/>
      <c r="R70" s="104"/>
    </row>
    <row r="71" spans="2:18" ht="46.5" hidden="1">
      <c r="B71" s="23" t="s">
        <v>38</v>
      </c>
      <c r="C71" s="79">
        <v>21110000</v>
      </c>
      <c r="D71" s="221">
        <v>0</v>
      </c>
      <c r="E71" s="221"/>
      <c r="F71" s="221">
        <v>0</v>
      </c>
      <c r="G71" s="202" t="e">
        <f>#N/A</f>
        <v>#N/A</v>
      </c>
      <c r="H71" s="204" t="e">
        <f>F71/E71*100</f>
        <v>#DIV/0!</v>
      </c>
      <c r="I71" s="207" t="e">
        <f>#N/A</f>
        <v>#N/A</v>
      </c>
      <c r="J71" s="207" t="e">
        <f>#N/A</f>
        <v>#N/A</v>
      </c>
      <c r="K71" s="207"/>
      <c r="L71" s="207"/>
      <c r="M71" s="202">
        <v>0</v>
      </c>
      <c r="N71" s="223">
        <f>F71</f>
        <v>0</v>
      </c>
      <c r="O71" s="207" t="e">
        <f>#N/A</f>
        <v>#N/A</v>
      </c>
      <c r="P71" s="207"/>
      <c r="Q71" s="43"/>
      <c r="R71" s="103"/>
    </row>
    <row r="72" spans="2:18" ht="31.5">
      <c r="B72" s="23" t="s">
        <v>30</v>
      </c>
      <c r="C72" s="78">
        <v>31030000</v>
      </c>
      <c r="D72" s="221">
        <v>4200</v>
      </c>
      <c r="E72" s="221">
        <v>1413</v>
      </c>
      <c r="F72" s="221">
        <v>1042.02</v>
      </c>
      <c r="G72" s="202">
        <f aca="true" t="shared" si="13" ref="G72:G82">F72-E72</f>
        <v>-370.98</v>
      </c>
      <c r="H72" s="204"/>
      <c r="I72" s="207">
        <f aca="true" t="shared" si="14" ref="I72:I82">F72-D72</f>
        <v>-3157.98</v>
      </c>
      <c r="J72" s="207">
        <f>F72/D72*100</f>
        <v>24.81</v>
      </c>
      <c r="K72" s="207">
        <f>F72-194</f>
        <v>848.02</v>
      </c>
      <c r="L72" s="207">
        <f>F72/194*100</f>
        <v>537.1237113402062</v>
      </c>
      <c r="M72" s="204">
        <f>E72-травень!E72</f>
        <v>500</v>
      </c>
      <c r="N72" s="208">
        <f>F72-травень!F72</f>
        <v>0.049999999999954525</v>
      </c>
      <c r="O72" s="207">
        <f aca="true" t="shared" si="15" ref="O72:O85">N72-M72</f>
        <v>-499.95000000000005</v>
      </c>
      <c r="P72" s="207">
        <f>N72/M72*100</f>
        <v>0.009999999999990905</v>
      </c>
      <c r="Q72" s="43"/>
      <c r="R72" s="103"/>
    </row>
    <row r="73" spans="2:18" ht="18">
      <c r="B73" s="23" t="s">
        <v>31</v>
      </c>
      <c r="C73" s="78">
        <v>33010000</v>
      </c>
      <c r="D73" s="221">
        <v>7459</v>
      </c>
      <c r="E73" s="221">
        <v>2233.71</v>
      </c>
      <c r="F73" s="221">
        <v>936.04</v>
      </c>
      <c r="G73" s="202">
        <f t="shared" si="13"/>
        <v>-1297.67</v>
      </c>
      <c r="H73" s="204">
        <f>F73/E73*100</f>
        <v>41.90517121739169</v>
      </c>
      <c r="I73" s="207">
        <f t="shared" si="14"/>
        <v>-6522.96</v>
      </c>
      <c r="J73" s="207">
        <f>F73/D73*100</f>
        <v>12.549135272824774</v>
      </c>
      <c r="K73" s="207">
        <f>F73-3257.07</f>
        <v>-2321.03</v>
      </c>
      <c r="L73" s="207">
        <f>F73/3257.07*100</f>
        <v>28.738713015071827</v>
      </c>
      <c r="M73" s="204">
        <f>E73-травень!E73</f>
        <v>282.60000000000014</v>
      </c>
      <c r="N73" s="208">
        <f>F73-травень!F73</f>
        <v>66.80999999999995</v>
      </c>
      <c r="O73" s="207">
        <f t="shared" si="15"/>
        <v>-215.7900000000002</v>
      </c>
      <c r="P73" s="207">
        <f>N73/M73*100</f>
        <v>23.641188959660266</v>
      </c>
      <c r="Q73" s="43"/>
      <c r="R73" s="103"/>
    </row>
    <row r="74" spans="2:18" ht="31.5">
      <c r="B74" s="23" t="s">
        <v>55</v>
      </c>
      <c r="C74" s="78">
        <v>24170000</v>
      </c>
      <c r="D74" s="221">
        <v>6000</v>
      </c>
      <c r="E74" s="221">
        <v>1792.85</v>
      </c>
      <c r="F74" s="221">
        <v>9374.51</v>
      </c>
      <c r="G74" s="202">
        <f t="shared" si="13"/>
        <v>7581.66</v>
      </c>
      <c r="H74" s="204">
        <f>F74/E74*100</f>
        <v>522.8831190562513</v>
      </c>
      <c r="I74" s="207">
        <f t="shared" si="14"/>
        <v>3374.51</v>
      </c>
      <c r="J74" s="207">
        <f>F74/D74*100</f>
        <v>156.24183333333335</v>
      </c>
      <c r="K74" s="207">
        <f>F74-1818.42</f>
        <v>7556.09</v>
      </c>
      <c r="L74" s="207">
        <f>F74/1818.42*100</f>
        <v>515.5305155024691</v>
      </c>
      <c r="M74" s="204">
        <f>E74-травень!E74</f>
        <v>302</v>
      </c>
      <c r="N74" s="208">
        <f>F74-травень!F74</f>
        <v>261.1200000000008</v>
      </c>
      <c r="O74" s="207">
        <f t="shared" si="15"/>
        <v>-40.8799999999992</v>
      </c>
      <c r="P74" s="207">
        <f>N74/M74*100</f>
        <v>86.46357615894065</v>
      </c>
      <c r="Q74" s="43"/>
      <c r="R74" s="103"/>
    </row>
    <row r="75" spans="2:18" ht="18">
      <c r="B75" s="23" t="s">
        <v>113</v>
      </c>
      <c r="C75" s="78">
        <v>24110700</v>
      </c>
      <c r="D75" s="221">
        <v>12</v>
      </c>
      <c r="E75" s="221">
        <v>6</v>
      </c>
      <c r="F75" s="221">
        <v>6</v>
      </c>
      <c r="G75" s="202">
        <f t="shared" si="13"/>
        <v>0</v>
      </c>
      <c r="H75" s="204">
        <f>F75/E75*100</f>
        <v>100</v>
      </c>
      <c r="I75" s="207">
        <f t="shared" si="14"/>
        <v>-6</v>
      </c>
      <c r="J75" s="207">
        <f>F75/D75*100</f>
        <v>50</v>
      </c>
      <c r="K75" s="207">
        <f>F75-0</f>
        <v>6</v>
      </c>
      <c r="L75" s="207"/>
      <c r="M75" s="204">
        <f>E75-травень!E75</f>
        <v>1</v>
      </c>
      <c r="N75" s="208">
        <f>F75-травень!F75</f>
        <v>1</v>
      </c>
      <c r="O75" s="207">
        <f t="shared" si="15"/>
        <v>0</v>
      </c>
      <c r="P75" s="207">
        <f>N75/M75*100</f>
        <v>100</v>
      </c>
      <c r="Q75" s="43"/>
      <c r="R75" s="151"/>
    </row>
    <row r="76" spans="2:18" ht="33">
      <c r="B76" s="29" t="s">
        <v>52</v>
      </c>
      <c r="C76" s="70"/>
      <c r="D76" s="224">
        <f>D72+D73+D74+D75</f>
        <v>17671</v>
      </c>
      <c r="E76" s="224">
        <f>E72+E73+E74+E75</f>
        <v>5445.5599999999995</v>
      </c>
      <c r="F76" s="224">
        <f>F72+F73+F74+F75</f>
        <v>11358.57</v>
      </c>
      <c r="G76" s="226">
        <f t="shared" si="13"/>
        <v>5913.01</v>
      </c>
      <c r="H76" s="227">
        <f>F76/E76*100</f>
        <v>208.5840574706734</v>
      </c>
      <c r="I76" s="228">
        <f t="shared" si="14"/>
        <v>-6312.43</v>
      </c>
      <c r="J76" s="228">
        <f>F76/D76*100</f>
        <v>64.27802614453059</v>
      </c>
      <c r="K76" s="228">
        <f>F76-5269.49</f>
        <v>6089.08</v>
      </c>
      <c r="L76" s="228">
        <f>F76/5269.49*100</f>
        <v>215.553497587053</v>
      </c>
      <c r="M76" s="226">
        <f>M72+M73+M74+M75</f>
        <v>1085.6000000000001</v>
      </c>
      <c r="N76" s="230">
        <f>N72+N73+N74+N75</f>
        <v>328.9800000000007</v>
      </c>
      <c r="O76" s="228">
        <f t="shared" si="15"/>
        <v>-756.6199999999994</v>
      </c>
      <c r="P76" s="228">
        <f>N76/M76*100</f>
        <v>30.30397936624914</v>
      </c>
      <c r="Q76" s="44"/>
      <c r="R76" s="129"/>
    </row>
    <row r="77" spans="2:18" ht="46.5">
      <c r="B77" s="12" t="s">
        <v>41</v>
      </c>
      <c r="C77" s="80">
        <v>24062100</v>
      </c>
      <c r="D77" s="221">
        <v>1</v>
      </c>
      <c r="E77" s="221">
        <v>0</v>
      </c>
      <c r="F77" s="221">
        <v>5.19</v>
      </c>
      <c r="G77" s="202">
        <f t="shared" si="13"/>
        <v>5.19</v>
      </c>
      <c r="H77" s="204"/>
      <c r="I77" s="207">
        <f t="shared" si="14"/>
        <v>4.19</v>
      </c>
      <c r="J77" s="207"/>
      <c r="K77" s="207">
        <f>F77-0</f>
        <v>5.19</v>
      </c>
      <c r="L77" s="207"/>
      <c r="M77" s="204">
        <f>E77-травень!E77</f>
        <v>0</v>
      </c>
      <c r="N77" s="208">
        <f>F77-травень!F77</f>
        <v>0.79</v>
      </c>
      <c r="O77" s="207">
        <f t="shared" si="15"/>
        <v>0.79</v>
      </c>
      <c r="P77" s="207"/>
      <c r="Q77" s="43"/>
      <c r="R77" s="103"/>
    </row>
    <row r="78" spans="2:18" ht="18" hidden="1">
      <c r="B78" s="23" t="s">
        <v>53</v>
      </c>
      <c r="C78" s="78">
        <v>24061600</v>
      </c>
      <c r="D78" s="221">
        <v>0</v>
      </c>
      <c r="E78" s="221">
        <v>0</v>
      </c>
      <c r="F78" s="221">
        <v>0</v>
      </c>
      <c r="G78" s="202">
        <f t="shared" si="13"/>
        <v>0</v>
      </c>
      <c r="H78" s="204"/>
      <c r="I78" s="207">
        <f t="shared" si="14"/>
        <v>0</v>
      </c>
      <c r="J78" s="231"/>
      <c r="K78" s="207">
        <f>F78-0</f>
        <v>0</v>
      </c>
      <c r="L78" s="207">
        <f>F78/19.48*100</f>
        <v>0</v>
      </c>
      <c r="M78" s="204">
        <f>E78-травень!E78</f>
        <v>0</v>
      </c>
      <c r="N78" s="208">
        <f>F78-травень!F78</f>
        <v>0</v>
      </c>
      <c r="O78" s="207">
        <f t="shared" si="15"/>
        <v>0</v>
      </c>
      <c r="P78" s="231"/>
      <c r="Q78" s="46"/>
      <c r="R78" s="105"/>
    </row>
    <row r="79" spans="2:18" ht="18">
      <c r="B79" s="23" t="s">
        <v>47</v>
      </c>
      <c r="C79" s="78">
        <v>19010000</v>
      </c>
      <c r="D79" s="221">
        <v>9500</v>
      </c>
      <c r="E79" s="221">
        <v>5117.3</v>
      </c>
      <c r="F79" s="221">
        <v>4890.44</v>
      </c>
      <c r="G79" s="202">
        <f t="shared" si="13"/>
        <v>-226.86000000000058</v>
      </c>
      <c r="H79" s="204">
        <f>F79/E79*100</f>
        <v>95.5668028061673</v>
      </c>
      <c r="I79" s="207">
        <f t="shared" si="14"/>
        <v>-4609.56</v>
      </c>
      <c r="J79" s="207">
        <f>F79/D79*100</f>
        <v>51.47831578947368</v>
      </c>
      <c r="K79" s="207">
        <f>F79-0</f>
        <v>4890.44</v>
      </c>
      <c r="L79" s="207"/>
      <c r="M79" s="204">
        <f>E79-травень!E79</f>
        <v>0.3000000000001819</v>
      </c>
      <c r="N79" s="208">
        <f>F79-травень!F79</f>
        <v>2.6699999999991633</v>
      </c>
      <c r="O79" s="207">
        <f>N79-M79</f>
        <v>2.3699999999989814</v>
      </c>
      <c r="P79" s="231">
        <f>N79/M79*100</f>
        <v>889.9999999991815</v>
      </c>
      <c r="Q79" s="46"/>
      <c r="R79" s="105"/>
    </row>
    <row r="80" spans="2:18" ht="31.5">
      <c r="B80" s="23" t="s">
        <v>51</v>
      </c>
      <c r="C80" s="78">
        <v>19050000</v>
      </c>
      <c r="D80" s="221">
        <v>0</v>
      </c>
      <c r="E80" s="221"/>
      <c r="F80" s="221">
        <v>0.81</v>
      </c>
      <c r="G80" s="202">
        <f t="shared" si="13"/>
        <v>0.81</v>
      </c>
      <c r="H80" s="204"/>
      <c r="I80" s="207">
        <f t="shared" si="14"/>
        <v>0.81</v>
      </c>
      <c r="J80" s="207"/>
      <c r="K80" s="207">
        <f>F80-1.06</f>
        <v>-0.25</v>
      </c>
      <c r="L80" s="207">
        <f>F80/1.06*100</f>
        <v>76.41509433962264</v>
      </c>
      <c r="M80" s="204">
        <f>E80-травень!E80</f>
        <v>0</v>
      </c>
      <c r="N80" s="208">
        <f>F80-травень!F80</f>
        <v>0.1200000000000001</v>
      </c>
      <c r="O80" s="207">
        <f t="shared" si="15"/>
        <v>0.1200000000000001</v>
      </c>
      <c r="P80" s="207"/>
      <c r="Q80" s="43"/>
      <c r="R80" s="103"/>
    </row>
    <row r="81" spans="2:18" ht="30">
      <c r="B81" s="29" t="s">
        <v>48</v>
      </c>
      <c r="C81" s="78"/>
      <c r="D81" s="224">
        <f>D77+D80+D78+D79</f>
        <v>9501</v>
      </c>
      <c r="E81" s="224">
        <f>E77+E80+E78+E79</f>
        <v>5117.3</v>
      </c>
      <c r="F81" s="224">
        <f>F77+F80+F78+F79</f>
        <v>4896.44</v>
      </c>
      <c r="G81" s="224">
        <f>G77+G80+G78+G79</f>
        <v>-220.86000000000058</v>
      </c>
      <c r="H81" s="227">
        <f>F81/E81*100</f>
        <v>95.68405213686904</v>
      </c>
      <c r="I81" s="228">
        <f t="shared" si="14"/>
        <v>-4604.56</v>
      </c>
      <c r="J81" s="228">
        <f>F81/D81*100</f>
        <v>51.53604883696452</v>
      </c>
      <c r="K81" s="228">
        <f>F81-1.06</f>
        <v>4895.379999999999</v>
      </c>
      <c r="L81" s="228">
        <f>F81/1.06*100</f>
        <v>461928.30188679235</v>
      </c>
      <c r="M81" s="226">
        <f>M77+M80+M78+M79</f>
        <v>0.3000000000001819</v>
      </c>
      <c r="N81" s="230">
        <f>N77+N80+N78+N79</f>
        <v>3.5799999999991634</v>
      </c>
      <c r="O81" s="226">
        <f>O77+O80+O78+O79</f>
        <v>3.2799999999989815</v>
      </c>
      <c r="P81" s="228">
        <f>N81/M81*100</f>
        <v>1193.333333332331</v>
      </c>
      <c r="Q81" s="44"/>
      <c r="R81" s="102"/>
    </row>
    <row r="82" spans="2:18" ht="30.75">
      <c r="B82" s="12" t="s">
        <v>42</v>
      </c>
      <c r="C82" s="48">
        <v>24110900</v>
      </c>
      <c r="D82" s="221">
        <v>43</v>
      </c>
      <c r="E82" s="221">
        <v>19.7</v>
      </c>
      <c r="F82" s="221">
        <v>18.25</v>
      </c>
      <c r="G82" s="202">
        <f t="shared" si="13"/>
        <v>-1.4499999999999993</v>
      </c>
      <c r="H82" s="204">
        <f>F82/E82*100</f>
        <v>92.63959390862945</v>
      </c>
      <c r="I82" s="207">
        <f t="shared" si="14"/>
        <v>-24.75</v>
      </c>
      <c r="J82" s="207">
        <f>F82/D82*100</f>
        <v>42.44186046511628</v>
      </c>
      <c r="K82" s="207">
        <f>F82-19.94</f>
        <v>-1.6900000000000013</v>
      </c>
      <c r="L82" s="207">
        <f>F82/19.94*100</f>
        <v>91.52457372116348</v>
      </c>
      <c r="M82" s="204">
        <f>E82-травень!E82</f>
        <v>5.899999999999999</v>
      </c>
      <c r="N82" s="208">
        <f>F82-травень!F82</f>
        <v>9.06</v>
      </c>
      <c r="O82" s="207">
        <f t="shared" si="15"/>
        <v>3.160000000000002</v>
      </c>
      <c r="P82" s="207">
        <f>N82/M82</f>
        <v>1.5355932203389835</v>
      </c>
      <c r="Q82" s="43"/>
      <c r="R82" s="103"/>
    </row>
    <row r="83" spans="2:18" ht="18" hidden="1">
      <c r="B83" s="137"/>
      <c r="C83" s="48"/>
      <c r="D83" s="221"/>
      <c r="E83" s="221"/>
      <c r="F83" s="221"/>
      <c r="G83" s="202"/>
      <c r="H83" s="204"/>
      <c r="I83" s="207"/>
      <c r="J83" s="207"/>
      <c r="K83" s="207">
        <f>F83-0</f>
        <v>0</v>
      </c>
      <c r="L83" s="207"/>
      <c r="M83" s="204">
        <f>E83-лютий!E78</f>
        <v>0</v>
      </c>
      <c r="N83" s="208">
        <f>F83-лютий!F78</f>
        <v>0</v>
      </c>
      <c r="O83" s="207">
        <f t="shared" si="15"/>
        <v>0</v>
      </c>
      <c r="P83" s="207"/>
      <c r="Q83" s="43"/>
      <c r="R83" s="103"/>
    </row>
    <row r="84" spans="2:18" ht="23.25" customHeight="1">
      <c r="B84" s="14" t="s">
        <v>32</v>
      </c>
      <c r="C84" s="71"/>
      <c r="D84" s="232">
        <f>D70+D82+D76+D81</f>
        <v>27215</v>
      </c>
      <c r="E84" s="232">
        <f>E70+E82+E76+E81</f>
        <v>10582.56</v>
      </c>
      <c r="F84" s="224">
        <f>F70+F82+F76+F81+F83</f>
        <v>16270.969999999998</v>
      </c>
      <c r="G84" s="233">
        <f>F84-E84</f>
        <v>5688.409999999998</v>
      </c>
      <c r="H84" s="234">
        <f>F84/E84*100</f>
        <v>153.75268366066433</v>
      </c>
      <c r="I84" s="235">
        <f>F84-D84</f>
        <v>-10944.030000000002</v>
      </c>
      <c r="J84" s="235">
        <f>F84/D84*100</f>
        <v>59.78677200073488</v>
      </c>
      <c r="K84" s="235">
        <f>F84-5259.67</f>
        <v>11011.299999999997</v>
      </c>
      <c r="L84" s="235">
        <f>F84/5259.67*100</f>
        <v>309.3534385237096</v>
      </c>
      <c r="M84" s="232">
        <f>M70+M82+M76+M81</f>
        <v>1091.8000000000004</v>
      </c>
      <c r="N84" s="232">
        <f>N70+N82+N76+N81+N83</f>
        <v>339.58999999999986</v>
      </c>
      <c r="O84" s="235">
        <f t="shared" si="15"/>
        <v>-752.2100000000005</v>
      </c>
      <c r="P84" s="235">
        <f>N84/M84*100</f>
        <v>31.103681993038997</v>
      </c>
      <c r="Q84" s="28">
        <f>N84-8104.96</f>
        <v>-7765.37</v>
      </c>
      <c r="R84" s="101">
        <f>N84/8104.96</f>
        <v>0.04189903466519265</v>
      </c>
    </row>
    <row r="85" spans="2:18" ht="17.25">
      <c r="B85" s="21" t="s">
        <v>33</v>
      </c>
      <c r="C85" s="71"/>
      <c r="D85" s="232">
        <f>D63+D84</f>
        <v>911115.6</v>
      </c>
      <c r="E85" s="232">
        <f>E63+E84</f>
        <v>452328.56999999995</v>
      </c>
      <c r="F85" s="224">
        <f>F63+F84</f>
        <v>511056.97</v>
      </c>
      <c r="G85" s="233">
        <f>F85-E85</f>
        <v>58728.40000000002</v>
      </c>
      <c r="H85" s="234">
        <f>F85/E85*100</f>
        <v>112.98357077024784</v>
      </c>
      <c r="I85" s="235">
        <f>F85-D85</f>
        <v>-400058.63</v>
      </c>
      <c r="J85" s="235">
        <f>F85/D85*100</f>
        <v>56.09134230606961</v>
      </c>
      <c r="K85" s="235">
        <f>F85-320998.67-5259.67</f>
        <v>184798.62999999998</v>
      </c>
      <c r="L85" s="235">
        <f>F85/(265734.15+4325.48)*100</f>
        <v>189.23856557161096</v>
      </c>
      <c r="M85" s="233">
        <f>M63+M84</f>
        <v>72584.4</v>
      </c>
      <c r="N85" s="233">
        <f>N63+N84</f>
        <v>97276.3</v>
      </c>
      <c r="O85" s="235">
        <f t="shared" si="15"/>
        <v>24691.90000000001</v>
      </c>
      <c r="P85" s="235">
        <f>N85/M85*100</f>
        <v>134.0181912366845</v>
      </c>
      <c r="Q85" s="28">
        <f>N85-42872.96</f>
        <v>54403.340000000004</v>
      </c>
      <c r="R85" s="101">
        <f>N85/42872.96</f>
        <v>2.2689429421248266</v>
      </c>
    </row>
    <row r="86" spans="2:14" ht="15">
      <c r="B86" s="20" t="s">
        <v>35</v>
      </c>
      <c r="N86" s="26"/>
    </row>
    <row r="87" spans="2:14" ht="15">
      <c r="B87" s="4" t="s">
        <v>37</v>
      </c>
      <c r="C87" s="81">
        <v>0</v>
      </c>
      <c r="D87" s="4" t="s">
        <v>36</v>
      </c>
      <c r="N87" s="83"/>
    </row>
    <row r="88" spans="2:17" ht="30.75">
      <c r="B88" s="57" t="s">
        <v>54</v>
      </c>
      <c r="C88" s="31">
        <f>IF(O63&lt;0,ABS(O63/C87),0)</f>
        <v>0</v>
      </c>
      <c r="D88" s="4" t="s">
        <v>24</v>
      </c>
      <c r="G88" s="294"/>
      <c r="H88" s="294"/>
      <c r="I88" s="294"/>
      <c r="J88" s="294"/>
      <c r="K88" s="90"/>
      <c r="L88" s="90"/>
      <c r="P88" s="26"/>
      <c r="Q88" s="26"/>
    </row>
    <row r="89" spans="2:15" ht="34.5" customHeight="1">
      <c r="B89" s="58" t="s">
        <v>56</v>
      </c>
      <c r="C89" s="87">
        <v>42551</v>
      </c>
      <c r="D89" s="31">
        <v>27978.6</v>
      </c>
      <c r="G89" s="4" t="s">
        <v>59</v>
      </c>
      <c r="N89" s="286"/>
      <c r="O89" s="286"/>
    </row>
    <row r="90" spans="3:15" ht="15">
      <c r="C90" s="87">
        <v>42550</v>
      </c>
      <c r="D90" s="31">
        <v>11029.3</v>
      </c>
      <c r="F90" s="124" t="s">
        <v>59</v>
      </c>
      <c r="G90" s="280"/>
      <c r="H90" s="280"/>
      <c r="I90" s="131"/>
      <c r="J90" s="283"/>
      <c r="K90" s="283"/>
      <c r="L90" s="283"/>
      <c r="M90" s="283"/>
      <c r="N90" s="286"/>
      <c r="O90" s="286"/>
    </row>
    <row r="91" spans="3:15" ht="15.75" customHeight="1">
      <c r="C91" s="87">
        <v>42545</v>
      </c>
      <c r="D91" s="31">
        <v>6499.7</v>
      </c>
      <c r="F91" s="73"/>
      <c r="G91" s="280"/>
      <c r="H91" s="280"/>
      <c r="I91" s="131"/>
      <c r="J91" s="287"/>
      <c r="K91" s="287"/>
      <c r="L91" s="287"/>
      <c r="M91" s="287"/>
      <c r="N91" s="286"/>
      <c r="O91" s="286"/>
    </row>
    <row r="92" spans="3:13" ht="15.75" customHeight="1">
      <c r="C92" s="87"/>
      <c r="F92" s="73"/>
      <c r="G92" s="282"/>
      <c r="H92" s="282"/>
      <c r="I92" s="139"/>
      <c r="J92" s="283"/>
      <c r="K92" s="283"/>
      <c r="L92" s="283"/>
      <c r="M92" s="283"/>
    </row>
    <row r="93" spans="2:13" ht="18.75" customHeight="1">
      <c r="B93" s="284" t="s">
        <v>57</v>
      </c>
      <c r="C93" s="285"/>
      <c r="D93" s="148">
        <v>9447.89588</v>
      </c>
      <c r="E93" s="74"/>
      <c r="F93" s="140" t="s">
        <v>137</v>
      </c>
      <c r="G93" s="280"/>
      <c r="H93" s="280"/>
      <c r="I93" s="141"/>
      <c r="J93" s="283"/>
      <c r="K93" s="283"/>
      <c r="L93" s="283"/>
      <c r="M93" s="283"/>
    </row>
    <row r="94" spans="6:12" ht="9.75" customHeight="1">
      <c r="F94" s="73"/>
      <c r="G94" s="280"/>
      <c r="H94" s="280"/>
      <c r="I94" s="73"/>
      <c r="J94" s="74"/>
      <c r="K94" s="74"/>
      <c r="L94" s="74"/>
    </row>
    <row r="95" spans="2:12" ht="22.5" customHeight="1">
      <c r="B95" s="278" t="s">
        <v>60</v>
      </c>
      <c r="C95" s="279"/>
      <c r="D95" s="86">
        <v>0</v>
      </c>
      <c r="E95" s="56" t="s">
        <v>24</v>
      </c>
      <c r="F95" s="73"/>
      <c r="G95" s="280"/>
      <c r="H95" s="280"/>
      <c r="I95" s="73"/>
      <c r="J95" s="74"/>
      <c r="K95" s="74"/>
      <c r="L95" s="74"/>
    </row>
    <row r="96" spans="4:15" ht="15">
      <c r="D96" s="73">
        <f>D44+D47+D48</f>
        <v>1640</v>
      </c>
      <c r="E96" s="73">
        <f>E44+E47+E48</f>
        <v>710</v>
      </c>
      <c r="F96" s="73">
        <f>F44+F47+F48</f>
        <v>245.54</v>
      </c>
      <c r="G96" s="73">
        <f>G44+G47+G48</f>
        <v>-464.46</v>
      </c>
      <c r="H96" s="74"/>
      <c r="I96" s="74"/>
      <c r="M96" s="31">
        <f>M44+M47+M48</f>
        <v>142</v>
      </c>
      <c r="N96" s="246">
        <f>N44+N47+N48</f>
        <v>127.56</v>
      </c>
      <c r="O96" s="31">
        <f>O44+O47+O48</f>
        <v>-14.439999999999976</v>
      </c>
    </row>
    <row r="97" spans="4:15" ht="15">
      <c r="D97" s="83"/>
      <c r="I97" s="31"/>
      <c r="N97" s="281"/>
      <c r="O97" s="281"/>
    </row>
    <row r="98" spans="14:15" ht="15">
      <c r="N98" s="280"/>
      <c r="O98" s="280"/>
    </row>
    <row r="99" ht="15">
      <c r="N99" s="31"/>
    </row>
    <row r="102" ht="15">
      <c r="E102" s="4" t="s">
        <v>59</v>
      </c>
    </row>
  </sheetData>
  <sheetProtection/>
  <mergeCells count="37">
    <mergeCell ref="Q5:R5"/>
    <mergeCell ref="E4:E5"/>
    <mergeCell ref="F4:F5"/>
    <mergeCell ref="I4:I5"/>
    <mergeCell ref="J4:J5"/>
    <mergeCell ref="N4:N5"/>
    <mergeCell ref="O4:O5"/>
    <mergeCell ref="A1:P1"/>
    <mergeCell ref="A3:A5"/>
    <mergeCell ref="B3:B5"/>
    <mergeCell ref="C3:C5"/>
    <mergeCell ref="D3:D5"/>
    <mergeCell ref="F3:J3"/>
    <mergeCell ref="P4:P5"/>
    <mergeCell ref="K5:L5"/>
    <mergeCell ref="M3:M5"/>
    <mergeCell ref="N3:R3"/>
    <mergeCell ref="G88:J88"/>
    <mergeCell ref="N89:O89"/>
    <mergeCell ref="G90:H90"/>
    <mergeCell ref="J90:M90"/>
    <mergeCell ref="N90:O90"/>
    <mergeCell ref="G4:G5"/>
    <mergeCell ref="H4:H5"/>
    <mergeCell ref="G91:H91"/>
    <mergeCell ref="J91:M91"/>
    <mergeCell ref="N91:O91"/>
    <mergeCell ref="B95:C95"/>
    <mergeCell ref="G95:H95"/>
    <mergeCell ref="N97:O97"/>
    <mergeCell ref="N98:O98"/>
    <mergeCell ref="G92:H92"/>
    <mergeCell ref="J92:M92"/>
    <mergeCell ref="B93:C93"/>
    <mergeCell ref="G93:H93"/>
    <mergeCell ref="J93:M93"/>
    <mergeCell ref="G94:H94"/>
  </mergeCells>
  <printOptions/>
  <pageMargins left="0.5905511811023622" right="0.5905511811023622" top="0.3937007874015748" bottom="0.3937007874015748" header="0" footer="0"/>
  <pageSetup fitToHeight="1" fitToWidth="1" orientation="portrait" paperSize="9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2"/>
  <sheetViews>
    <sheetView zoomScale="87" zoomScaleNormal="87" zoomScalePageLayoutView="0" workbookViewId="0" topLeftCell="B1">
      <pane xSplit="2" ySplit="8" topLeftCell="D21" activePane="bottomRight" state="frozen"/>
      <selection pane="topLeft" activeCell="B1" sqref="B1"/>
      <selection pane="topRight" activeCell="D1" sqref="D1"/>
      <selection pane="bottomLeft" activeCell="B9" sqref="B9"/>
      <selection pane="bottomRight" activeCell="B27" sqref="A27:IV28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3.1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95" hidden="1" customWidth="1"/>
    <col min="19" max="19" width="9.125" style="4" customWidth="1"/>
    <col min="20" max="20" width="11.50390625" style="4" customWidth="1"/>
    <col min="21" max="16384" width="9.125" style="4" customWidth="1"/>
  </cols>
  <sheetData>
    <row r="1" spans="1:18" s="1" customFormat="1" ht="26.25" customHeight="1">
      <c r="A1" s="301" t="s">
        <v>168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301"/>
      <c r="O1" s="301"/>
      <c r="P1" s="301"/>
      <c r="Q1" s="92"/>
      <c r="R1" s="93"/>
    </row>
    <row r="2" spans="2:18" s="1" customFormat="1" ht="15.75" customHeight="1">
      <c r="B2" s="319"/>
      <c r="C2" s="319"/>
      <c r="D2" s="319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303"/>
      <c r="B3" s="305"/>
      <c r="C3" s="306" t="s">
        <v>0</v>
      </c>
      <c r="D3" s="307" t="s">
        <v>121</v>
      </c>
      <c r="E3" s="34"/>
      <c r="F3" s="308" t="s">
        <v>26</v>
      </c>
      <c r="G3" s="309"/>
      <c r="H3" s="309"/>
      <c r="I3" s="309"/>
      <c r="J3" s="310"/>
      <c r="K3" s="89"/>
      <c r="L3" s="89"/>
      <c r="M3" s="311" t="s">
        <v>162</v>
      </c>
      <c r="N3" s="312" t="s">
        <v>163</v>
      </c>
      <c r="O3" s="312"/>
      <c r="P3" s="312"/>
      <c r="Q3" s="312"/>
      <c r="R3" s="312"/>
    </row>
    <row r="4" spans="1:18" ht="22.5" customHeight="1">
      <c r="A4" s="303"/>
      <c r="B4" s="305"/>
      <c r="C4" s="306"/>
      <c r="D4" s="307"/>
      <c r="E4" s="313" t="s">
        <v>158</v>
      </c>
      <c r="F4" s="317" t="s">
        <v>34</v>
      </c>
      <c r="G4" s="288" t="s">
        <v>159</v>
      </c>
      <c r="H4" s="297" t="s">
        <v>160</v>
      </c>
      <c r="I4" s="288" t="s">
        <v>122</v>
      </c>
      <c r="J4" s="297" t="s">
        <v>123</v>
      </c>
      <c r="K4" s="91" t="s">
        <v>65</v>
      </c>
      <c r="L4" s="96" t="s">
        <v>64</v>
      </c>
      <c r="M4" s="297"/>
      <c r="N4" s="299" t="s">
        <v>169</v>
      </c>
      <c r="O4" s="288" t="s">
        <v>50</v>
      </c>
      <c r="P4" s="290" t="s">
        <v>49</v>
      </c>
      <c r="Q4" s="97" t="s">
        <v>65</v>
      </c>
      <c r="R4" s="98" t="s">
        <v>64</v>
      </c>
    </row>
    <row r="5" spans="1:18" ht="78.75" customHeight="1">
      <c r="A5" s="304"/>
      <c r="B5" s="305"/>
      <c r="C5" s="306"/>
      <c r="D5" s="307"/>
      <c r="E5" s="314"/>
      <c r="F5" s="318"/>
      <c r="G5" s="289"/>
      <c r="H5" s="298"/>
      <c r="I5" s="289"/>
      <c r="J5" s="298"/>
      <c r="K5" s="291" t="s">
        <v>161</v>
      </c>
      <c r="L5" s="293"/>
      <c r="M5" s="298"/>
      <c r="N5" s="300"/>
      <c r="O5" s="289"/>
      <c r="P5" s="290"/>
      <c r="Q5" s="291" t="s">
        <v>120</v>
      </c>
      <c r="R5" s="293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77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77"/>
      <c r="O7" s="10"/>
      <c r="P7" s="10"/>
      <c r="Q7" s="10"/>
      <c r="R7" s="99"/>
    </row>
    <row r="8" spans="1:18" s="6" customFormat="1" ht="17.25">
      <c r="A8" s="7"/>
      <c r="B8" s="194" t="s">
        <v>9</v>
      </c>
      <c r="C8" s="75" t="s">
        <v>10</v>
      </c>
      <c r="D8" s="191">
        <f>D9+D15+D18+D19+D20+D36+D17</f>
        <v>841050</v>
      </c>
      <c r="E8" s="191">
        <f>E9+E15+E18+E19+E20+E36+E17</f>
        <v>352436.48</v>
      </c>
      <c r="F8" s="191">
        <f>F9+F15+F18+F19+F20+F36+F17</f>
        <v>374994.94999999995</v>
      </c>
      <c r="G8" s="191">
        <f aca="true" t="shared" si="0" ref="G8:G21">F8-E8</f>
        <v>22558.469999999972</v>
      </c>
      <c r="H8" s="192">
        <f>F8/E8*100</f>
        <v>106.40071935799608</v>
      </c>
      <c r="I8" s="193">
        <f>F8-D8</f>
        <v>-466055.05000000005</v>
      </c>
      <c r="J8" s="193">
        <f>F8/D8*100</f>
        <v>44.58652279888234</v>
      </c>
      <c r="K8" s="191">
        <f>F8-252732.09</f>
        <v>122262.85999999996</v>
      </c>
      <c r="L8" s="191">
        <f>F8/252732.09*100</f>
        <v>148.37646853630656</v>
      </c>
      <c r="M8" s="191">
        <f>M9+M15+M18+M19+M20+M36+M17</f>
        <v>80761.80000000002</v>
      </c>
      <c r="N8" s="191">
        <f>N9+N15+N18+N19+N20+N36+N17</f>
        <v>80864.32</v>
      </c>
      <c r="O8" s="191">
        <f>N8-M8</f>
        <v>102.51999999998952</v>
      </c>
      <c r="P8" s="191">
        <f>N8/M8*100</f>
        <v>100.12694120240013</v>
      </c>
      <c r="Q8" s="15" t="e">
        <f>#N/A</f>
        <v>#N/A</v>
      </c>
      <c r="R8" s="15" t="e">
        <f>#N/A</f>
        <v>#N/A</v>
      </c>
    </row>
    <row r="9" spans="1:18" s="6" customFormat="1" ht="18">
      <c r="A9" s="8"/>
      <c r="B9" s="13" t="s">
        <v>82</v>
      </c>
      <c r="C9" s="48">
        <v>11010000</v>
      </c>
      <c r="D9" s="190">
        <v>459700</v>
      </c>
      <c r="E9" s="190">
        <f>179402.27+3500</f>
        <v>182902.27</v>
      </c>
      <c r="F9" s="196">
        <v>199100.92</v>
      </c>
      <c r="G9" s="190">
        <f t="shared" si="0"/>
        <v>16198.650000000023</v>
      </c>
      <c r="H9" s="197">
        <f>F9/E9*100</f>
        <v>108.8564510434999</v>
      </c>
      <c r="I9" s="198">
        <f>F9-D9</f>
        <v>-260599.08</v>
      </c>
      <c r="J9" s="198">
        <f>F9/D9*100</f>
        <v>43.31105503589298</v>
      </c>
      <c r="K9" s="199">
        <f>F9-138082.5</f>
        <v>61018.42000000001</v>
      </c>
      <c r="L9" s="199">
        <f>F9/138082.5*100</f>
        <v>144.18982854452955</v>
      </c>
      <c r="M9" s="197">
        <f>E9-квітень!E9</f>
        <v>37119</v>
      </c>
      <c r="N9" s="200">
        <f>F9-квітень!F9</f>
        <v>41063.120000000024</v>
      </c>
      <c r="O9" s="201">
        <f>N9-M9</f>
        <v>3944.1200000000244</v>
      </c>
      <c r="P9" s="198">
        <f>N9/M9*100</f>
        <v>110.62560952611878</v>
      </c>
      <c r="Q9" s="106"/>
      <c r="R9" s="107"/>
    </row>
    <row r="10" spans="1:18" s="6" customFormat="1" ht="18">
      <c r="A10" s="8"/>
      <c r="B10" s="136" t="s">
        <v>93</v>
      </c>
      <c r="C10" s="108">
        <v>11010100</v>
      </c>
      <c r="D10" s="109">
        <v>411440</v>
      </c>
      <c r="E10" s="109">
        <f>160645.84+1200</f>
        <v>161845.84</v>
      </c>
      <c r="F10" s="171">
        <v>174168.33</v>
      </c>
      <c r="G10" s="109">
        <f t="shared" si="0"/>
        <v>12322.48999999999</v>
      </c>
      <c r="H10" s="32">
        <f aca="true" t="shared" si="1" ref="H10:H35">F10/E10*100</f>
        <v>107.61372056272809</v>
      </c>
      <c r="I10" s="110">
        <f aca="true" t="shared" si="2" ref="I10:I36">F10-D10</f>
        <v>-237271.67</v>
      </c>
      <c r="J10" s="110">
        <f aca="true" t="shared" si="3" ref="J10:J35">F10/D10*100</f>
        <v>42.33140433599066</v>
      </c>
      <c r="K10" s="112">
        <f>F10-122193.74</f>
        <v>51974.58999999998</v>
      </c>
      <c r="L10" s="112">
        <f>F10/122193.74*100</f>
        <v>142.5345766485255</v>
      </c>
      <c r="M10" s="111">
        <f>E10-квітень!E10</f>
        <v>30929</v>
      </c>
      <c r="N10" s="179">
        <f>F10-квітень!F10</f>
        <v>36352.34</v>
      </c>
      <c r="O10" s="112">
        <f aca="true" t="shared" si="4" ref="O10:O36">N10-M10</f>
        <v>5423.3399999999965</v>
      </c>
      <c r="P10" s="198">
        <f aca="true" t="shared" si="5" ref="P10:P16">N10/M10*100</f>
        <v>117.53480552232531</v>
      </c>
      <c r="Q10" s="42"/>
      <c r="R10" s="100"/>
    </row>
    <row r="11" spans="1:18" s="6" customFormat="1" ht="18">
      <c r="A11" s="8"/>
      <c r="B11" s="136" t="s">
        <v>89</v>
      </c>
      <c r="C11" s="108">
        <v>11010200</v>
      </c>
      <c r="D11" s="109">
        <v>23000</v>
      </c>
      <c r="E11" s="109">
        <f>10264.94+2300</f>
        <v>12564.94</v>
      </c>
      <c r="F11" s="171">
        <v>14679.25</v>
      </c>
      <c r="G11" s="109">
        <f t="shared" si="0"/>
        <v>2114.3099999999995</v>
      </c>
      <c r="H11" s="32">
        <f t="shared" si="1"/>
        <v>116.82706005758881</v>
      </c>
      <c r="I11" s="110">
        <f t="shared" si="2"/>
        <v>-8320.75</v>
      </c>
      <c r="J11" s="110">
        <f t="shared" si="3"/>
        <v>63.82282608695652</v>
      </c>
      <c r="K11" s="112">
        <f>F11-7771.39</f>
        <v>6907.86</v>
      </c>
      <c r="L11" s="112">
        <f>F11/7771.39*100</f>
        <v>188.88834558553876</v>
      </c>
      <c r="M11" s="111">
        <f>E11-квітень!E11</f>
        <v>3930</v>
      </c>
      <c r="N11" s="179">
        <f>F11-квітень!F11</f>
        <v>3191.709999999999</v>
      </c>
      <c r="O11" s="112">
        <f t="shared" si="4"/>
        <v>-738.2900000000009</v>
      </c>
      <c r="P11" s="198">
        <f t="shared" si="5"/>
        <v>81.21399491094145</v>
      </c>
      <c r="Q11" s="42"/>
      <c r="R11" s="100"/>
    </row>
    <row r="12" spans="1:18" s="6" customFormat="1" ht="18">
      <c r="A12" s="8"/>
      <c r="B12" s="136" t="s">
        <v>92</v>
      </c>
      <c r="C12" s="108">
        <v>11010400</v>
      </c>
      <c r="D12" s="109">
        <v>6500</v>
      </c>
      <c r="E12" s="109">
        <v>2220.61</v>
      </c>
      <c r="F12" s="171">
        <v>4583.23</v>
      </c>
      <c r="G12" s="109">
        <f t="shared" si="0"/>
        <v>2362.6199999999994</v>
      </c>
      <c r="H12" s="32">
        <f t="shared" si="1"/>
        <v>206.39508963753198</v>
      </c>
      <c r="I12" s="110">
        <f t="shared" si="2"/>
        <v>-1916.7700000000004</v>
      </c>
      <c r="J12" s="110">
        <f t="shared" si="3"/>
        <v>70.51123076923076</v>
      </c>
      <c r="K12" s="112">
        <f>F12-2169.03</f>
        <v>2414.1999999999994</v>
      </c>
      <c r="L12" s="112">
        <f>F12/2169.03*100</f>
        <v>211.30320926865923</v>
      </c>
      <c r="M12" s="111">
        <f>E12-квітень!E12</f>
        <v>530.0000000000002</v>
      </c>
      <c r="N12" s="179">
        <f>F12-квітень!F12</f>
        <v>486.7999999999993</v>
      </c>
      <c r="O12" s="112">
        <f t="shared" si="4"/>
        <v>-43.200000000000955</v>
      </c>
      <c r="P12" s="198">
        <f t="shared" si="5"/>
        <v>91.8490566037734</v>
      </c>
      <c r="Q12" s="42"/>
      <c r="R12" s="100"/>
    </row>
    <row r="13" spans="1:18" s="6" customFormat="1" ht="18">
      <c r="A13" s="8"/>
      <c r="B13" s="136" t="s">
        <v>90</v>
      </c>
      <c r="C13" s="108">
        <v>11010500</v>
      </c>
      <c r="D13" s="109">
        <v>12400</v>
      </c>
      <c r="E13" s="109">
        <v>3764.84</v>
      </c>
      <c r="F13" s="171">
        <v>3763.44</v>
      </c>
      <c r="G13" s="109">
        <f t="shared" si="0"/>
        <v>-1.400000000000091</v>
      </c>
      <c r="H13" s="32">
        <f t="shared" si="1"/>
        <v>99.96281382475749</v>
      </c>
      <c r="I13" s="110">
        <f t="shared" si="2"/>
        <v>-8636.56</v>
      </c>
      <c r="J13" s="110">
        <f t="shared" si="3"/>
        <v>30.350322580645162</v>
      </c>
      <c r="K13" s="112">
        <f>F13-2303.67</f>
        <v>1459.77</v>
      </c>
      <c r="L13" s="112">
        <f>F13/2303.67*100</f>
        <v>163.36714894060347</v>
      </c>
      <c r="M13" s="111">
        <f>E13-квітень!E13</f>
        <v>1100</v>
      </c>
      <c r="N13" s="179">
        <f>F13-квітень!F13</f>
        <v>551.96</v>
      </c>
      <c r="O13" s="112">
        <f t="shared" si="4"/>
        <v>-548.04</v>
      </c>
      <c r="P13" s="198">
        <f t="shared" si="5"/>
        <v>50.17818181818182</v>
      </c>
      <c r="Q13" s="42"/>
      <c r="R13" s="100"/>
    </row>
    <row r="14" spans="1:18" s="6" customFormat="1" ht="18">
      <c r="A14" s="8"/>
      <c r="B14" s="136" t="s">
        <v>91</v>
      </c>
      <c r="C14" s="108">
        <v>11010900</v>
      </c>
      <c r="D14" s="109">
        <v>6360</v>
      </c>
      <c r="E14" s="109">
        <v>2506.04</v>
      </c>
      <c r="F14" s="171">
        <v>1906.68</v>
      </c>
      <c r="G14" s="109">
        <f t="shared" si="0"/>
        <v>-599.3599999999999</v>
      </c>
      <c r="H14" s="32">
        <f t="shared" si="1"/>
        <v>76.0833825477646</v>
      </c>
      <c r="I14" s="110">
        <f t="shared" si="2"/>
        <v>-4453.32</v>
      </c>
      <c r="J14" s="110">
        <f t="shared" si="3"/>
        <v>29.97924528301887</v>
      </c>
      <c r="K14" s="112">
        <f>F14-3644.66</f>
        <v>-1737.9799999999998</v>
      </c>
      <c r="L14" s="112">
        <f>F14/3644.66*100</f>
        <v>52.31434482228795</v>
      </c>
      <c r="M14" s="111">
        <f>E14-квітень!E14</f>
        <v>630</v>
      </c>
      <c r="N14" s="179">
        <f>F14-квітень!F14</f>
        <v>480.32000000000016</v>
      </c>
      <c r="O14" s="112">
        <f t="shared" si="4"/>
        <v>-149.67999999999984</v>
      </c>
      <c r="P14" s="198">
        <f t="shared" si="5"/>
        <v>76.24126984126987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190">
        <v>500</v>
      </c>
      <c r="E15" s="190">
        <v>235</v>
      </c>
      <c r="F15" s="196">
        <v>309.24</v>
      </c>
      <c r="G15" s="190">
        <f t="shared" si="0"/>
        <v>74.24000000000001</v>
      </c>
      <c r="H15" s="197">
        <f>F15/E15*100</f>
        <v>131.59148936170212</v>
      </c>
      <c r="I15" s="198">
        <f t="shared" si="2"/>
        <v>-190.76</v>
      </c>
      <c r="J15" s="198">
        <f t="shared" si="3"/>
        <v>61.848000000000006</v>
      </c>
      <c r="K15" s="201">
        <f>F15-(-880.74)</f>
        <v>1189.98</v>
      </c>
      <c r="L15" s="201">
        <f>F15/(-880.74)*100</f>
        <v>-35.11138360923769</v>
      </c>
      <c r="M15" s="197">
        <f>E15-квітень!E15</f>
        <v>115</v>
      </c>
      <c r="N15" s="200">
        <f>F15-квітень!F15</f>
        <v>123.4</v>
      </c>
      <c r="O15" s="201">
        <f t="shared" si="4"/>
        <v>8.400000000000006</v>
      </c>
      <c r="P15" s="198">
        <f t="shared" si="5"/>
        <v>107.30434782608695</v>
      </c>
      <c r="Q15" s="42"/>
      <c r="R15" s="100"/>
    </row>
    <row r="16" spans="1:18" s="6" customFormat="1" ht="18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197">
        <f>E16-квітень!E16</f>
        <v>0</v>
      </c>
      <c r="N16" s="200">
        <f>F16-квітень!F16</f>
        <v>0</v>
      </c>
      <c r="O16" s="40">
        <f t="shared" si="4"/>
        <v>0</v>
      </c>
      <c r="P16" s="198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202">
        <v>0</v>
      </c>
      <c r="E17" s="202">
        <v>0</v>
      </c>
      <c r="F17" s="203">
        <v>0.17</v>
      </c>
      <c r="G17" s="202">
        <f t="shared" si="0"/>
        <v>0.17</v>
      </c>
      <c r="H17" s="204"/>
      <c r="I17" s="205">
        <f t="shared" si="2"/>
        <v>0.17</v>
      </c>
      <c r="J17" s="205"/>
      <c r="K17" s="206">
        <f>F17-0.09</f>
        <v>0.08000000000000002</v>
      </c>
      <c r="L17" s="207">
        <f>F17/0.09*100</f>
        <v>188.8888888888889</v>
      </c>
      <c r="M17" s="197">
        <f>E17-квітень!E17</f>
        <v>0</v>
      </c>
      <c r="N17" s="200">
        <f>F17-квітень!F17</f>
        <v>0.12000000000000001</v>
      </c>
      <c r="O17" s="207">
        <f t="shared" si="4"/>
        <v>0.12000000000000001</v>
      </c>
      <c r="P17" s="198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190">
        <v>10</v>
      </c>
      <c r="E18" s="190">
        <v>10</v>
      </c>
      <c r="F18" s="196">
        <v>105.8</v>
      </c>
      <c r="G18" s="190">
        <f t="shared" si="0"/>
        <v>95.8</v>
      </c>
      <c r="H18" s="197">
        <f t="shared" si="1"/>
        <v>1058</v>
      </c>
      <c r="I18" s="198">
        <f t="shared" si="2"/>
        <v>95.8</v>
      </c>
      <c r="J18" s="198">
        <f t="shared" si="3"/>
        <v>1058</v>
      </c>
      <c r="K18" s="201">
        <f>F18-15.8</f>
        <v>90</v>
      </c>
      <c r="L18" s="201">
        <f>F18/15.8*100</f>
        <v>669.6202531645569</v>
      </c>
      <c r="M18" s="197">
        <f>E18-квітень!E18</f>
        <v>0</v>
      </c>
      <c r="N18" s="200">
        <f>F18-квітень!F18</f>
        <v>0</v>
      </c>
      <c r="O18" s="201">
        <f t="shared" si="4"/>
        <v>0</v>
      </c>
      <c r="P18" s="198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190">
        <v>109900</v>
      </c>
      <c r="E19" s="190">
        <v>38060.4</v>
      </c>
      <c r="F19" s="196">
        <v>35230.56</v>
      </c>
      <c r="G19" s="190">
        <f t="shared" si="0"/>
        <v>-2829.840000000004</v>
      </c>
      <c r="H19" s="197">
        <f t="shared" si="1"/>
        <v>92.56487057414004</v>
      </c>
      <c r="I19" s="198">
        <f t="shared" si="2"/>
        <v>-74669.44</v>
      </c>
      <c r="J19" s="198">
        <f t="shared" si="3"/>
        <v>32.056924476797086</v>
      </c>
      <c r="K19" s="209">
        <f>F19-23140.48</f>
        <v>12090.079999999998</v>
      </c>
      <c r="L19" s="209">
        <f>F19/23140.48*100</f>
        <v>152.2464529689963</v>
      </c>
      <c r="M19" s="197">
        <f>E19-квітень!E19</f>
        <v>9500</v>
      </c>
      <c r="N19" s="200">
        <f>F19-квітень!F19</f>
        <v>9211.929999999997</v>
      </c>
      <c r="O19" s="201">
        <f t="shared" si="4"/>
        <v>-288.07000000000335</v>
      </c>
      <c r="P19" s="198">
        <f aca="true" t="shared" si="6" ref="P19:P24">N19/M19*100</f>
        <v>96.96768421052629</v>
      </c>
      <c r="Q19" s="113"/>
      <c r="R19" s="114"/>
    </row>
    <row r="20" spans="1:18" s="6" customFormat="1" ht="18">
      <c r="A20" s="8"/>
      <c r="B20" s="130" t="s">
        <v>76</v>
      </c>
      <c r="C20" s="48">
        <v>18000000</v>
      </c>
      <c r="D20" s="190">
        <f>D21+D29+D31</f>
        <v>270940</v>
      </c>
      <c r="E20" s="190">
        <f>E21+E29+E31</f>
        <v>131228.81</v>
      </c>
      <c r="F20" s="210">
        <f>F21+F29+F31+F30</f>
        <v>140248.25999999998</v>
      </c>
      <c r="G20" s="190">
        <f t="shared" si="0"/>
        <v>9019.449999999983</v>
      </c>
      <c r="H20" s="197">
        <f t="shared" si="1"/>
        <v>106.87307154579851</v>
      </c>
      <c r="I20" s="198">
        <f t="shared" si="2"/>
        <v>-130691.74000000002</v>
      </c>
      <c r="J20" s="198">
        <f t="shared" si="3"/>
        <v>51.76358603380822</v>
      </c>
      <c r="K20" s="198">
        <f>F20-88353.34</f>
        <v>51894.919999999984</v>
      </c>
      <c r="L20" s="198">
        <f>F20/88353.34*100</f>
        <v>158.73566296418446</v>
      </c>
      <c r="M20" s="197">
        <f>M21+M29+M30+M31</f>
        <v>34027.80000000001</v>
      </c>
      <c r="N20" s="200">
        <f>F20-квітень!F20</f>
        <v>30465.749999999985</v>
      </c>
      <c r="O20" s="201">
        <f t="shared" si="4"/>
        <v>-3562.0500000000247</v>
      </c>
      <c r="P20" s="198">
        <f t="shared" si="6"/>
        <v>89.53194153016057</v>
      </c>
      <c r="Q20" s="113"/>
      <c r="R20" s="114"/>
    </row>
    <row r="21" spans="1:18" s="6" customFormat="1" ht="18">
      <c r="A21" s="8"/>
      <c r="B21" s="49" t="s">
        <v>84</v>
      </c>
      <c r="C21" s="127">
        <v>18010000</v>
      </c>
      <c r="D21" s="190">
        <f>D22+D25+D26</f>
        <v>161400</v>
      </c>
      <c r="E21" s="190">
        <f>E22+E25+E26</f>
        <v>65096.26</v>
      </c>
      <c r="F21" s="211">
        <f>F22+F25+F26</f>
        <v>71540.14</v>
      </c>
      <c r="G21" s="190">
        <f t="shared" si="0"/>
        <v>6443.879999999997</v>
      </c>
      <c r="H21" s="197">
        <f t="shared" si="1"/>
        <v>109.8990018781417</v>
      </c>
      <c r="I21" s="198">
        <f t="shared" si="2"/>
        <v>-89859.86</v>
      </c>
      <c r="J21" s="198">
        <f t="shared" si="3"/>
        <v>44.32474597273854</v>
      </c>
      <c r="K21" s="198">
        <f>F21-45791.35</f>
        <v>25748.79</v>
      </c>
      <c r="L21" s="198">
        <f>F21/45791.35*100</f>
        <v>156.2306854897268</v>
      </c>
      <c r="M21" s="197">
        <f>M22+M25+M26</f>
        <v>13410</v>
      </c>
      <c r="N21" s="200">
        <f>F21-квітень!F21</f>
        <v>13503.89</v>
      </c>
      <c r="O21" s="201">
        <f t="shared" si="4"/>
        <v>93.88999999999942</v>
      </c>
      <c r="P21" s="198">
        <f t="shared" si="6"/>
        <v>100.70014914243102</v>
      </c>
      <c r="Q21" s="113"/>
      <c r="R21" s="114"/>
    </row>
    <row r="22" spans="1:20" s="6" customFormat="1" ht="18">
      <c r="A22" s="8"/>
      <c r="B22" s="55" t="s">
        <v>77</v>
      </c>
      <c r="C22" s="138"/>
      <c r="D22" s="212">
        <v>18500</v>
      </c>
      <c r="E22" s="212">
        <f>6871.6+1500</f>
        <v>8371.6</v>
      </c>
      <c r="F22" s="213">
        <v>8640.15</v>
      </c>
      <c r="G22" s="212">
        <f aca="true" t="shared" si="7" ref="G22:G29">F22-E22</f>
        <v>268.5499999999993</v>
      </c>
      <c r="H22" s="214">
        <f t="shared" si="1"/>
        <v>103.20786946342395</v>
      </c>
      <c r="I22" s="215">
        <f t="shared" si="2"/>
        <v>-9859.85</v>
      </c>
      <c r="J22" s="215">
        <f t="shared" si="3"/>
        <v>46.70351351351351</v>
      </c>
      <c r="K22" s="216">
        <f>F22-4439.46</f>
        <v>4200.69</v>
      </c>
      <c r="L22" s="216">
        <f>F22/4439.46*100</f>
        <v>194.62164317281832</v>
      </c>
      <c r="M22" s="214">
        <f>E22-квітень!E22</f>
        <v>1740</v>
      </c>
      <c r="N22" s="217">
        <f>F22-квітень!F22</f>
        <v>226.9400000000005</v>
      </c>
      <c r="O22" s="218">
        <f t="shared" si="4"/>
        <v>-1513.0599999999995</v>
      </c>
      <c r="P22" s="215">
        <f t="shared" si="6"/>
        <v>13.042528735632214</v>
      </c>
      <c r="Q22" s="113"/>
      <c r="R22" s="114"/>
      <c r="T22" s="186"/>
    </row>
    <row r="23" spans="1:20" s="6" customFormat="1" ht="18" hidden="1">
      <c r="A23" s="8"/>
      <c r="B23" s="237" t="s">
        <v>164</v>
      </c>
      <c r="C23" s="238"/>
      <c r="D23" s="241">
        <v>2000</v>
      </c>
      <c r="E23" s="241">
        <v>349.1</v>
      </c>
      <c r="F23" s="203">
        <v>263.65</v>
      </c>
      <c r="G23" s="241">
        <f t="shared" si="7"/>
        <v>-85.45000000000005</v>
      </c>
      <c r="H23" s="242">
        <f t="shared" si="1"/>
        <v>75.52277284445717</v>
      </c>
      <c r="I23" s="243">
        <f t="shared" si="2"/>
        <v>-1736.35</v>
      </c>
      <c r="J23" s="243">
        <f t="shared" si="3"/>
        <v>13.1825</v>
      </c>
      <c r="K23" s="244">
        <f>F23-230.02</f>
        <v>33.62999999999997</v>
      </c>
      <c r="L23" s="244">
        <f>F23/230.02*100</f>
        <v>114.62046778540996</v>
      </c>
      <c r="M23" s="239">
        <f>E23-309.1</f>
        <v>40</v>
      </c>
      <c r="N23" s="239">
        <f>F23-252.55</f>
        <v>11.099999999999966</v>
      </c>
      <c r="O23" s="240">
        <f t="shared" si="4"/>
        <v>-28.900000000000034</v>
      </c>
      <c r="P23" s="240">
        <f t="shared" si="6"/>
        <v>27.749999999999915</v>
      </c>
      <c r="Q23" s="113"/>
      <c r="R23" s="114"/>
      <c r="T23" s="186"/>
    </row>
    <row r="24" spans="1:20" s="6" customFormat="1" ht="18" hidden="1">
      <c r="A24" s="8"/>
      <c r="B24" s="237" t="s">
        <v>165</v>
      </c>
      <c r="C24" s="238"/>
      <c r="D24" s="241">
        <v>16500</v>
      </c>
      <c r="E24" s="241">
        <f>6522.5+1500</f>
        <v>8022.5</v>
      </c>
      <c r="F24" s="203">
        <v>8376.5</v>
      </c>
      <c r="G24" s="241">
        <f t="shared" si="7"/>
        <v>354</v>
      </c>
      <c r="H24" s="242">
        <f t="shared" si="1"/>
        <v>104.41258959177313</v>
      </c>
      <c r="I24" s="243">
        <f t="shared" si="2"/>
        <v>-8123.5</v>
      </c>
      <c r="J24" s="243">
        <f t="shared" si="3"/>
        <v>50.76666666666667</v>
      </c>
      <c r="K24" s="244">
        <f>F24-4209.44</f>
        <v>4167.06</v>
      </c>
      <c r="L24" s="244">
        <f>F24/4209.44*100</f>
        <v>198.9932152495344</v>
      </c>
      <c r="M24" s="239">
        <f>E24-6322.5</f>
        <v>1700</v>
      </c>
      <c r="N24" s="239">
        <f>F24-8160.66</f>
        <v>215.84000000000015</v>
      </c>
      <c r="O24" s="240">
        <f t="shared" si="4"/>
        <v>-1484.1599999999999</v>
      </c>
      <c r="P24" s="240">
        <f t="shared" si="6"/>
        <v>12.696470588235304</v>
      </c>
      <c r="Q24" s="113"/>
      <c r="R24" s="114"/>
      <c r="T24" s="186"/>
    </row>
    <row r="25" spans="1:18" s="6" customFormat="1" ht="18">
      <c r="A25" s="8"/>
      <c r="B25" s="55" t="s">
        <v>78</v>
      </c>
      <c r="C25" s="138"/>
      <c r="D25" s="212">
        <v>2800</v>
      </c>
      <c r="E25" s="212">
        <v>276.84</v>
      </c>
      <c r="F25" s="213">
        <v>420.08</v>
      </c>
      <c r="G25" s="212">
        <f t="shared" si="7"/>
        <v>143.24</v>
      </c>
      <c r="H25" s="214">
        <f t="shared" si="1"/>
        <v>151.74107787891924</v>
      </c>
      <c r="I25" s="215">
        <f t="shared" si="2"/>
        <v>-2379.92</v>
      </c>
      <c r="J25" s="215">
        <f t="shared" si="3"/>
        <v>15.002857142857144</v>
      </c>
      <c r="K25" s="215">
        <f>F25-173.09</f>
        <v>246.98999999999998</v>
      </c>
      <c r="L25" s="215">
        <f>F25/173.09*100</f>
        <v>242.69455196718468</v>
      </c>
      <c r="M25" s="214">
        <f>E25-квітень!E23</f>
        <v>0</v>
      </c>
      <c r="N25" s="217">
        <f>F25-квітень!F23</f>
        <v>33.5</v>
      </c>
      <c r="O25" s="218">
        <f t="shared" si="4"/>
        <v>33.5</v>
      </c>
      <c r="P25" s="215"/>
      <c r="Q25" s="113"/>
      <c r="R25" s="114"/>
    </row>
    <row r="26" spans="1:18" s="6" customFormat="1" ht="18">
      <c r="A26" s="8"/>
      <c r="B26" s="55" t="s">
        <v>79</v>
      </c>
      <c r="C26" s="138"/>
      <c r="D26" s="212">
        <v>140100</v>
      </c>
      <c r="E26" s="212">
        <v>56447.82</v>
      </c>
      <c r="F26" s="213">
        <v>62479.91</v>
      </c>
      <c r="G26" s="212">
        <f t="shared" si="7"/>
        <v>6032.090000000004</v>
      </c>
      <c r="H26" s="214">
        <f t="shared" si="1"/>
        <v>110.6861345575436</v>
      </c>
      <c r="I26" s="215">
        <f t="shared" si="2"/>
        <v>-77620.09</v>
      </c>
      <c r="J26" s="215">
        <f t="shared" si="3"/>
        <v>44.596652391149185</v>
      </c>
      <c r="K26" s="216">
        <f>F26-41178.8</f>
        <v>21301.11</v>
      </c>
      <c r="L26" s="216">
        <f>F26/41178.8*100</f>
        <v>151.72834079672063</v>
      </c>
      <c r="M26" s="214">
        <f>E26-квітень!E24</f>
        <v>11670</v>
      </c>
      <c r="N26" s="217">
        <f>F26-квітень!F24</f>
        <v>13243.450000000004</v>
      </c>
      <c r="O26" s="218">
        <f t="shared" si="4"/>
        <v>1573.4500000000044</v>
      </c>
      <c r="P26" s="215">
        <f>N26/M26*100</f>
        <v>113.48286203941736</v>
      </c>
      <c r="Q26" s="113"/>
      <c r="R26" s="114"/>
    </row>
    <row r="27" spans="1:18" s="6" customFormat="1" ht="18" hidden="1">
      <c r="A27" s="8"/>
      <c r="B27" s="237" t="s">
        <v>166</v>
      </c>
      <c r="C27" s="238"/>
      <c r="D27" s="241">
        <v>38057</v>
      </c>
      <c r="E27" s="241">
        <v>15844.05</v>
      </c>
      <c r="F27" s="203">
        <v>19348.56</v>
      </c>
      <c r="G27" s="241">
        <f t="shared" si="7"/>
        <v>3504.510000000002</v>
      </c>
      <c r="H27" s="242">
        <f t="shared" si="1"/>
        <v>122.11877644920335</v>
      </c>
      <c r="I27" s="243">
        <f t="shared" si="2"/>
        <v>-18708.44</v>
      </c>
      <c r="J27" s="243">
        <f t="shared" si="3"/>
        <v>50.841001655411624</v>
      </c>
      <c r="K27" s="244">
        <f>F27-10374.12</f>
        <v>8974.44</v>
      </c>
      <c r="L27" s="244">
        <f>F27/10374.12*100</f>
        <v>186.50796404899884</v>
      </c>
      <c r="M27" s="239">
        <f>E27-12724.05</f>
        <v>3120</v>
      </c>
      <c r="N27" s="239">
        <f>F27-15205.9</f>
        <v>4142.660000000002</v>
      </c>
      <c r="O27" s="240">
        <f t="shared" si="4"/>
        <v>1022.6600000000017</v>
      </c>
      <c r="P27" s="240">
        <f>N27/M27*100</f>
        <v>132.77756410256416</v>
      </c>
      <c r="Q27" s="113"/>
      <c r="R27" s="114"/>
    </row>
    <row r="28" spans="1:18" s="6" customFormat="1" ht="18" hidden="1">
      <c r="A28" s="8"/>
      <c r="B28" s="237" t="s">
        <v>167</v>
      </c>
      <c r="C28" s="238"/>
      <c r="D28" s="241">
        <v>102043</v>
      </c>
      <c r="E28" s="241">
        <v>40603.77</v>
      </c>
      <c r="F28" s="203">
        <v>43131.35</v>
      </c>
      <c r="G28" s="241">
        <f t="shared" si="7"/>
        <v>2527.5800000000017</v>
      </c>
      <c r="H28" s="242">
        <f t="shared" si="1"/>
        <v>106.22498846781963</v>
      </c>
      <c r="I28" s="243">
        <f t="shared" si="2"/>
        <v>-58911.65</v>
      </c>
      <c r="J28" s="243">
        <f t="shared" si="3"/>
        <v>42.26781846868477</v>
      </c>
      <c r="K28" s="244">
        <f>F28-30804.67</f>
        <v>12326.68</v>
      </c>
      <c r="L28" s="244">
        <f>F28/30804.67*100</f>
        <v>140.01562100811338</v>
      </c>
      <c r="M28" s="239">
        <f>E28-32053.77</f>
        <v>8549.999999999996</v>
      </c>
      <c r="N28" s="239">
        <f>F28-34030.56</f>
        <v>9100.79</v>
      </c>
      <c r="O28" s="240">
        <f t="shared" si="4"/>
        <v>550.7900000000045</v>
      </c>
      <c r="P28" s="240">
        <f>N28/M28*100</f>
        <v>106.44198830409361</v>
      </c>
      <c r="Q28" s="113"/>
      <c r="R28" s="114"/>
    </row>
    <row r="29" spans="1:18" s="6" customFormat="1" ht="18">
      <c r="A29" s="8"/>
      <c r="B29" s="49" t="s">
        <v>85</v>
      </c>
      <c r="C29" s="127">
        <v>18030000</v>
      </c>
      <c r="D29" s="190">
        <v>77</v>
      </c>
      <c r="E29" s="190">
        <v>30.51</v>
      </c>
      <c r="F29" s="196">
        <v>51.14</v>
      </c>
      <c r="G29" s="190">
        <f t="shared" si="7"/>
        <v>20.63</v>
      </c>
      <c r="H29" s="197">
        <f t="shared" si="1"/>
        <v>167.6171746968207</v>
      </c>
      <c r="I29" s="198">
        <f t="shared" si="2"/>
        <v>-25.86</v>
      </c>
      <c r="J29" s="198">
        <f t="shared" si="3"/>
        <v>66.41558441558442</v>
      </c>
      <c r="K29" s="198">
        <f>F29-33.2</f>
        <v>17.939999999999998</v>
      </c>
      <c r="L29" s="198">
        <f>F29/33.2*100</f>
        <v>154.03614457831324</v>
      </c>
      <c r="M29" s="197">
        <f>E29-квітень!E25</f>
        <v>11</v>
      </c>
      <c r="N29" s="200">
        <f>F29-квітень!F25</f>
        <v>18.43</v>
      </c>
      <c r="O29" s="201">
        <f t="shared" si="4"/>
        <v>7.43</v>
      </c>
      <c r="P29" s="198">
        <f>N29/M29*100</f>
        <v>167.54545454545456</v>
      </c>
      <c r="Q29" s="113"/>
      <c r="R29" s="114"/>
    </row>
    <row r="30" spans="1:18" s="6" customFormat="1" ht="49.5" customHeight="1">
      <c r="A30" s="8"/>
      <c r="B30" s="49" t="s">
        <v>86</v>
      </c>
      <c r="C30" s="127">
        <v>18040000</v>
      </c>
      <c r="D30" s="190"/>
      <c r="E30" s="190"/>
      <c r="F30" s="196">
        <v>-109.72</v>
      </c>
      <c r="G30" s="190">
        <f aca="true" t="shared" si="8" ref="G30:G36">F30-E30</f>
        <v>-109.72</v>
      </c>
      <c r="H30" s="197"/>
      <c r="I30" s="198">
        <f t="shared" si="2"/>
        <v>-109.72</v>
      </c>
      <c r="J30" s="198"/>
      <c r="K30" s="198">
        <f>F30-(-205.49)</f>
        <v>95.77000000000001</v>
      </c>
      <c r="L30" s="198">
        <f>F30/(-205.49)*100</f>
        <v>53.39432575794443</v>
      </c>
      <c r="M30" s="197">
        <f>E30-квітень!E26</f>
        <v>0</v>
      </c>
      <c r="N30" s="200">
        <f>F30-квітень!F26</f>
        <v>-2.7099999999999937</v>
      </c>
      <c r="O30" s="201">
        <f t="shared" si="4"/>
        <v>-2.7099999999999937</v>
      </c>
      <c r="P30" s="198"/>
      <c r="Q30" s="113"/>
      <c r="R30" s="114"/>
    </row>
    <row r="31" spans="1:18" s="6" customFormat="1" ht="18">
      <c r="A31" s="8"/>
      <c r="B31" s="49" t="s">
        <v>87</v>
      </c>
      <c r="C31" s="127">
        <v>18050000</v>
      </c>
      <c r="D31" s="202">
        <v>109463</v>
      </c>
      <c r="E31" s="202">
        <f>56102.04+10000</f>
        <v>66102.04000000001</v>
      </c>
      <c r="F31" s="203">
        <v>68766.7</v>
      </c>
      <c r="G31" s="202">
        <f t="shared" si="8"/>
        <v>2664.659999999989</v>
      </c>
      <c r="H31" s="204">
        <f t="shared" si="1"/>
        <v>104.03113126311985</v>
      </c>
      <c r="I31" s="205">
        <f t="shared" si="2"/>
        <v>-40696.3</v>
      </c>
      <c r="J31" s="205">
        <f t="shared" si="3"/>
        <v>62.82186674949526</v>
      </c>
      <c r="K31" s="219">
        <f>F31-42734.29</f>
        <v>26032.409999999996</v>
      </c>
      <c r="L31" s="219">
        <f>F31/42734.29*100</f>
        <v>160.91691239049484</v>
      </c>
      <c r="M31" s="197">
        <f>E31-квітень!E27</f>
        <v>20606.80000000001</v>
      </c>
      <c r="N31" s="200">
        <f>F31-квітень!F27</f>
        <v>16946.14</v>
      </c>
      <c r="O31" s="207">
        <f t="shared" si="4"/>
        <v>-3660.6600000000108</v>
      </c>
      <c r="P31" s="205">
        <f>N31/M31*100</f>
        <v>82.23566977890789</v>
      </c>
      <c r="Q31" s="113"/>
      <c r="R31" s="114"/>
    </row>
    <row r="32" spans="1:18" s="6" customFormat="1" ht="15">
      <c r="A32" s="8"/>
      <c r="B32" s="55" t="s">
        <v>94</v>
      </c>
      <c r="C32" s="108">
        <v>18050200</v>
      </c>
      <c r="D32" s="109">
        <v>0</v>
      </c>
      <c r="E32" s="109">
        <v>0</v>
      </c>
      <c r="F32" s="171">
        <v>0.18</v>
      </c>
      <c r="G32" s="109">
        <f t="shared" si="8"/>
        <v>0.18</v>
      </c>
      <c r="H32" s="111"/>
      <c r="I32" s="110">
        <f t="shared" si="2"/>
        <v>0.18</v>
      </c>
      <c r="J32" s="110"/>
      <c r="K32" s="142">
        <f>F32-(-1.2)</f>
        <v>1.38</v>
      </c>
      <c r="L32" s="142"/>
      <c r="M32" s="111">
        <f>E32-квітень!E28</f>
        <v>0</v>
      </c>
      <c r="N32" s="179">
        <f>F32-квітень!F28</f>
        <v>0</v>
      </c>
      <c r="O32" s="112">
        <f t="shared" si="4"/>
        <v>0</v>
      </c>
      <c r="P32" s="110"/>
      <c r="Q32" s="113"/>
      <c r="R32" s="114"/>
    </row>
    <row r="33" spans="1:18" s="6" customFormat="1" ht="15">
      <c r="A33" s="8"/>
      <c r="B33" s="55" t="s">
        <v>95</v>
      </c>
      <c r="C33" s="108">
        <v>18050300</v>
      </c>
      <c r="D33" s="109">
        <v>27600</v>
      </c>
      <c r="E33" s="109">
        <f>14755.97+2000</f>
        <v>16755.97</v>
      </c>
      <c r="F33" s="171">
        <v>17552.06</v>
      </c>
      <c r="G33" s="109">
        <f t="shared" si="8"/>
        <v>796.0900000000001</v>
      </c>
      <c r="H33" s="111">
        <f t="shared" si="1"/>
        <v>104.75108274841742</v>
      </c>
      <c r="I33" s="110">
        <f t="shared" si="2"/>
        <v>-10047.939999999999</v>
      </c>
      <c r="J33" s="110">
        <f t="shared" si="3"/>
        <v>63.59442028985508</v>
      </c>
      <c r="K33" s="142">
        <f>F33-10825.45</f>
        <v>6726.610000000001</v>
      </c>
      <c r="L33" s="142">
        <f>F33/10825.45*100</f>
        <v>162.1370012332051</v>
      </c>
      <c r="M33" s="111">
        <f>E33-квітень!E29</f>
        <v>5500.000000000002</v>
      </c>
      <c r="N33" s="179">
        <f>F33-квітень!F29</f>
        <v>5067.300000000001</v>
      </c>
      <c r="O33" s="112">
        <f t="shared" si="4"/>
        <v>-432.7000000000007</v>
      </c>
      <c r="P33" s="110">
        <f>N33/M33*100</f>
        <v>92.13272727272727</v>
      </c>
      <c r="Q33" s="113"/>
      <c r="R33" s="114"/>
    </row>
    <row r="34" spans="1:18" s="6" customFormat="1" ht="15">
      <c r="A34" s="8"/>
      <c r="B34" s="55" t="s">
        <v>96</v>
      </c>
      <c r="C34" s="108">
        <v>18050400</v>
      </c>
      <c r="D34" s="109">
        <v>81812</v>
      </c>
      <c r="E34" s="109">
        <f>41336.08+8000</f>
        <v>49336.08</v>
      </c>
      <c r="F34" s="171">
        <v>51200.46</v>
      </c>
      <c r="G34" s="109">
        <f t="shared" si="8"/>
        <v>1864.3799999999974</v>
      </c>
      <c r="H34" s="111">
        <f t="shared" si="1"/>
        <v>103.77893825370803</v>
      </c>
      <c r="I34" s="110">
        <f t="shared" si="2"/>
        <v>-30611.54</v>
      </c>
      <c r="J34" s="110">
        <f t="shared" si="3"/>
        <v>62.58306849850877</v>
      </c>
      <c r="K34" s="142">
        <f>F34-31903.08</f>
        <v>19297.379999999997</v>
      </c>
      <c r="L34" s="142">
        <f>F34/31903.08*100</f>
        <v>160.48751405820377</v>
      </c>
      <c r="M34" s="111">
        <f>E34-квітень!E30</f>
        <v>15100</v>
      </c>
      <c r="N34" s="179">
        <f>F34-квітень!F30</f>
        <v>11878.849999999999</v>
      </c>
      <c r="O34" s="112">
        <f t="shared" si="4"/>
        <v>-3221.1500000000015</v>
      </c>
      <c r="P34" s="110">
        <f>N34/M34*100</f>
        <v>78.66788079470197</v>
      </c>
      <c r="Q34" s="113"/>
      <c r="R34" s="114"/>
    </row>
    <row r="35" spans="1:18" s="6" customFormat="1" ht="15">
      <c r="A35" s="8"/>
      <c r="B35" s="55" t="s">
        <v>97</v>
      </c>
      <c r="C35" s="108">
        <v>18050500</v>
      </c>
      <c r="D35" s="109">
        <v>51</v>
      </c>
      <c r="E35" s="109">
        <v>9.99</v>
      </c>
      <c r="F35" s="171">
        <v>14.01</v>
      </c>
      <c r="G35" s="109">
        <f t="shared" si="8"/>
        <v>4.02</v>
      </c>
      <c r="H35" s="111">
        <f t="shared" si="1"/>
        <v>140.24024024024024</v>
      </c>
      <c r="I35" s="110">
        <f t="shared" si="2"/>
        <v>-36.99</v>
      </c>
      <c r="J35" s="110">
        <f t="shared" si="3"/>
        <v>27.47058823529412</v>
      </c>
      <c r="K35" s="142">
        <f>F35-6.96</f>
        <v>7.05</v>
      </c>
      <c r="L35" s="142">
        <f>F35/6.96*100</f>
        <v>201.29310344827584</v>
      </c>
      <c r="M35" s="111">
        <f>E35-квітень!E31</f>
        <v>6.800000000000001</v>
      </c>
      <c r="N35" s="179">
        <f>F35-квітень!F31</f>
        <v>0</v>
      </c>
      <c r="O35" s="112">
        <f t="shared" si="4"/>
        <v>-6.800000000000001</v>
      </c>
      <c r="P35" s="110"/>
      <c r="Q35" s="113"/>
      <c r="R35" s="114"/>
    </row>
    <row r="36" spans="1:18" s="6" customFormat="1" ht="15">
      <c r="A36" s="8"/>
      <c r="B36" s="49" t="s">
        <v>47</v>
      </c>
      <c r="C36" s="48">
        <v>19010000</v>
      </c>
      <c r="D36" s="36">
        <v>0</v>
      </c>
      <c r="E36" s="36">
        <v>0</v>
      </c>
      <c r="F36" s="36">
        <v>0</v>
      </c>
      <c r="G36" s="36">
        <f t="shared" si="8"/>
        <v>0</v>
      </c>
      <c r="H36" s="32"/>
      <c r="I36" s="42">
        <f t="shared" si="2"/>
        <v>0</v>
      </c>
      <c r="J36" s="42"/>
      <c r="K36" s="132">
        <f>F36-4020.62</f>
        <v>-4020.62</v>
      </c>
      <c r="L36" s="132">
        <f>F36/2014.1*100</f>
        <v>0</v>
      </c>
      <c r="M36" s="32">
        <v>0</v>
      </c>
      <c r="N36" s="178">
        <f>F36-квітень!F32</f>
        <v>0</v>
      </c>
      <c r="O36" s="40">
        <f t="shared" si="4"/>
        <v>0</v>
      </c>
      <c r="P36" s="42"/>
      <c r="Q36" s="113"/>
      <c r="R36" s="114"/>
    </row>
    <row r="37" spans="1:18" s="6" customFormat="1" ht="17.25">
      <c r="A37" s="7"/>
      <c r="B37" s="16" t="s">
        <v>12</v>
      </c>
      <c r="C37" s="75">
        <v>20000000</v>
      </c>
      <c r="D37" s="15">
        <f>D38+D39+D40+D41+D42+D44+D46+D47+D48+D49+D50+D55+D56+D60</f>
        <v>42820</v>
      </c>
      <c r="E37" s="15">
        <f>E38+E39+E40+E41+E42+E44+E46+E47+E48+E49+E50+E55+E56+E60</f>
        <v>17807.03</v>
      </c>
      <c r="F37" s="15">
        <f>F38+F39+F40+F41+F42+F44+F46+F47+F48+F49+F50+F55+F56+F60+F43</f>
        <v>22840.42</v>
      </c>
      <c r="G37" s="191">
        <f>G38+G39+G40+G41+G42+G44+G46+G47+G48+G49+G50+G55+G56+G60</f>
        <v>5026.589999999999</v>
      </c>
      <c r="H37" s="192">
        <f>F37/E37*100</f>
        <v>128.2663083063262</v>
      </c>
      <c r="I37" s="193">
        <f>F37-D37</f>
        <v>-19979.58</v>
      </c>
      <c r="J37" s="193">
        <f>F37/D37*100</f>
        <v>53.340541802895835</v>
      </c>
      <c r="K37" s="191">
        <f>F37-12995.52</f>
        <v>9844.899999999998</v>
      </c>
      <c r="L37" s="191">
        <f>F37/12995.52*100</f>
        <v>175.7561067198542</v>
      </c>
      <c r="M37" s="191">
        <f>M38+M39+M40+M41+M42+M44+M46+M47+M48+M49+M50+M55+M56+M60</f>
        <v>3561</v>
      </c>
      <c r="N37" s="191">
        <f>N38+N39+N40+N41+N42+N44+N46+N47+N48+N49+N50+N55+N56+N60+N43</f>
        <v>6079.776000000001</v>
      </c>
      <c r="O37" s="191">
        <f>O38+O39+O40+O41+O42+O44+O46+O47+O48+O49+O50+O55+O56+O60</f>
        <v>2518.7759999999994</v>
      </c>
      <c r="P37" s="191">
        <f>N37/M37*100</f>
        <v>170.7322662173547</v>
      </c>
      <c r="Q37" s="15" t="e">
        <f>#N/A</f>
        <v>#N/A</v>
      </c>
      <c r="R37" s="15" t="e">
        <f>#N/A</f>
        <v>#N/A</v>
      </c>
    </row>
    <row r="38" spans="1:18" s="6" customFormat="1" ht="46.5">
      <c r="A38" s="8"/>
      <c r="B38" s="49" t="s">
        <v>102</v>
      </c>
      <c r="C38" s="48">
        <v>21010301</v>
      </c>
      <c r="D38" s="33">
        <v>100</v>
      </c>
      <c r="E38" s="33">
        <v>64</v>
      </c>
      <c r="F38" s="170">
        <v>240.17</v>
      </c>
      <c r="G38" s="202">
        <f>F38-E38</f>
        <v>176.17</v>
      </c>
      <c r="H38" s="204">
        <f aca="true" t="shared" si="9" ref="H38:H61">F38/E38*100</f>
        <v>375.265625</v>
      </c>
      <c r="I38" s="205">
        <f>F38-D38</f>
        <v>140.17</v>
      </c>
      <c r="J38" s="205">
        <f>F38/D38*100</f>
        <v>240.17</v>
      </c>
      <c r="K38" s="205">
        <f>F38-100.4</f>
        <v>139.76999999999998</v>
      </c>
      <c r="L38" s="205">
        <f>F38/100.4*100</f>
        <v>239.21314741035852</v>
      </c>
      <c r="M38" s="204">
        <f>E38-квітень!E34</f>
        <v>10</v>
      </c>
      <c r="N38" s="208">
        <f>F38-квітень!F34</f>
        <v>144.42399999999998</v>
      </c>
      <c r="O38" s="207">
        <f>N38-M38</f>
        <v>134.42399999999998</v>
      </c>
      <c r="P38" s="205">
        <f aca="true" t="shared" si="10" ref="P38:P61">N38/M38*100</f>
        <v>1444.2399999999998</v>
      </c>
      <c r="Q38" s="42"/>
      <c r="R38" s="100"/>
    </row>
    <row r="39" spans="1:18" s="6" customFormat="1" ht="30.75">
      <c r="A39" s="8"/>
      <c r="B39" s="144" t="s">
        <v>80</v>
      </c>
      <c r="C39" s="47">
        <v>21050000</v>
      </c>
      <c r="D39" s="33">
        <v>10000</v>
      </c>
      <c r="E39" s="33">
        <v>5537</v>
      </c>
      <c r="F39" s="170">
        <v>10098.73</v>
      </c>
      <c r="G39" s="202">
        <f aca="true" t="shared" si="11" ref="G39:G62">F39-E39</f>
        <v>4561.73</v>
      </c>
      <c r="H39" s="204">
        <f t="shared" si="9"/>
        <v>182.38631027632292</v>
      </c>
      <c r="I39" s="205">
        <f aca="true" t="shared" si="12" ref="I39:I62">F39-D39</f>
        <v>98.72999999999956</v>
      </c>
      <c r="J39" s="205">
        <f>F39/D39*100</f>
        <v>100.9873</v>
      </c>
      <c r="K39" s="205">
        <f>F39-0</f>
        <v>10098.73</v>
      </c>
      <c r="L39" s="205"/>
      <c r="M39" s="204">
        <f>E39-квітень!E35</f>
        <v>1000</v>
      </c>
      <c r="N39" s="208">
        <f>F39-квітень!F35</f>
        <v>3345.3199999999997</v>
      </c>
      <c r="O39" s="207">
        <f aca="true" t="shared" si="13" ref="O39:O62">N39-M39</f>
        <v>2345.3199999999997</v>
      </c>
      <c r="P39" s="205">
        <f t="shared" si="10"/>
        <v>334.532</v>
      </c>
      <c r="Q39" s="42"/>
      <c r="R39" s="100"/>
    </row>
    <row r="40" spans="1:18" s="6" customFormat="1" ht="18">
      <c r="A40" s="8"/>
      <c r="B40" s="144" t="s">
        <v>62</v>
      </c>
      <c r="C40" s="47">
        <v>21080500</v>
      </c>
      <c r="D40" s="33">
        <v>400</v>
      </c>
      <c r="E40" s="33">
        <v>91.44</v>
      </c>
      <c r="F40" s="170">
        <v>27.51</v>
      </c>
      <c r="G40" s="202">
        <f t="shared" si="11"/>
        <v>-63.92999999999999</v>
      </c>
      <c r="H40" s="204">
        <f t="shared" si="9"/>
        <v>30.085301837270347</v>
      </c>
      <c r="I40" s="205">
        <f t="shared" si="12"/>
        <v>-372.49</v>
      </c>
      <c r="J40" s="205">
        <f aca="true" t="shared" si="14" ref="J40:J61">F40/D40*100</f>
        <v>6.8775</v>
      </c>
      <c r="K40" s="205">
        <f>F40-112.8</f>
        <v>-85.28999999999999</v>
      </c>
      <c r="L40" s="205">
        <f>F40/112.8*100</f>
        <v>24.388297872340427</v>
      </c>
      <c r="M40" s="204">
        <f>E40-квітень!E36</f>
        <v>20</v>
      </c>
      <c r="N40" s="208">
        <f>F40-квітень!F36</f>
        <v>0</v>
      </c>
      <c r="O40" s="207">
        <f t="shared" si="13"/>
        <v>-20</v>
      </c>
      <c r="P40" s="205">
        <f t="shared" si="10"/>
        <v>0</v>
      </c>
      <c r="Q40" s="42"/>
      <c r="R40" s="100"/>
    </row>
    <row r="41" spans="1:18" s="6" customFormat="1" ht="31.5">
      <c r="A41" s="8"/>
      <c r="B41" s="27" t="s">
        <v>40</v>
      </c>
      <c r="C41" s="76">
        <v>21080900</v>
      </c>
      <c r="D41" s="33">
        <f>6.5-6.5</f>
        <v>0</v>
      </c>
      <c r="E41" s="33">
        <v>0</v>
      </c>
      <c r="F41" s="170">
        <v>0.1</v>
      </c>
      <c r="G41" s="202">
        <f t="shared" si="11"/>
        <v>0.1</v>
      </c>
      <c r="H41" s="204"/>
      <c r="I41" s="205">
        <f t="shared" si="12"/>
        <v>0.1</v>
      </c>
      <c r="J41" s="205"/>
      <c r="K41" s="205">
        <f>F41-0</f>
        <v>0.1</v>
      </c>
      <c r="L41" s="205"/>
      <c r="M41" s="204">
        <f>E41-квітень!E37</f>
        <v>0</v>
      </c>
      <c r="N41" s="208">
        <f>F41-квітень!F37</f>
        <v>0</v>
      </c>
      <c r="O41" s="207">
        <f t="shared" si="13"/>
        <v>0</v>
      </c>
      <c r="P41" s="205"/>
      <c r="Q41" s="42"/>
      <c r="R41" s="100"/>
    </row>
    <row r="42" spans="1:18" s="6" customFormat="1" ht="18">
      <c r="A42" s="8"/>
      <c r="B42" s="145" t="s">
        <v>16</v>
      </c>
      <c r="C42" s="77">
        <v>21081100</v>
      </c>
      <c r="D42" s="33">
        <v>150</v>
      </c>
      <c r="E42" s="33">
        <v>50</v>
      </c>
      <c r="F42" s="170">
        <v>50.4</v>
      </c>
      <c r="G42" s="202">
        <f t="shared" si="11"/>
        <v>0.3999999999999986</v>
      </c>
      <c r="H42" s="204">
        <f t="shared" si="9"/>
        <v>100.8</v>
      </c>
      <c r="I42" s="205">
        <f t="shared" si="12"/>
        <v>-99.6</v>
      </c>
      <c r="J42" s="205">
        <f t="shared" si="14"/>
        <v>33.599999999999994</v>
      </c>
      <c r="K42" s="205">
        <f>F42-65.18</f>
        <v>-14.780000000000008</v>
      </c>
      <c r="L42" s="205">
        <f>F42/65.18*100</f>
        <v>77.32433261736728</v>
      </c>
      <c r="M42" s="204">
        <f>E42-квітень!E38</f>
        <v>10</v>
      </c>
      <c r="N42" s="208">
        <f>F42-квітень!F38</f>
        <v>16.199999999999996</v>
      </c>
      <c r="O42" s="207">
        <f t="shared" si="13"/>
        <v>6.199999999999996</v>
      </c>
      <c r="P42" s="205">
        <f t="shared" si="10"/>
        <v>161.99999999999997</v>
      </c>
      <c r="Q42" s="42"/>
      <c r="R42" s="100"/>
    </row>
    <row r="43" spans="1:18" s="6" customFormat="1" ht="46.5">
      <c r="A43" s="8"/>
      <c r="B43" s="145" t="s">
        <v>83</v>
      </c>
      <c r="C43" s="77">
        <v>21081500</v>
      </c>
      <c r="D43" s="33">
        <v>0</v>
      </c>
      <c r="E43" s="33">
        <v>0</v>
      </c>
      <c r="F43" s="170">
        <v>6.8</v>
      </c>
      <c r="G43" s="202">
        <f t="shared" si="11"/>
        <v>6.8</v>
      </c>
      <c r="H43" s="204"/>
      <c r="I43" s="205">
        <f t="shared" si="12"/>
        <v>6.8</v>
      </c>
      <c r="J43" s="205"/>
      <c r="K43" s="205">
        <f>F43-2</f>
        <v>4.8</v>
      </c>
      <c r="L43" s="205">
        <f>F43/2*100</f>
        <v>340</v>
      </c>
      <c r="M43" s="204">
        <f>E43-квітень!E39</f>
        <v>0</v>
      </c>
      <c r="N43" s="208">
        <f>F43-квітень!F39</f>
        <v>0</v>
      </c>
      <c r="O43" s="207"/>
      <c r="P43" s="205"/>
      <c r="Q43" s="42"/>
      <c r="R43" s="100"/>
    </row>
    <row r="44" spans="1:18" s="6" customFormat="1" ht="30.75">
      <c r="A44" s="8"/>
      <c r="B44" s="187" t="s">
        <v>124</v>
      </c>
      <c r="C44" s="54">
        <v>22010300</v>
      </c>
      <c r="D44" s="33">
        <v>90</v>
      </c>
      <c r="E44" s="33">
        <v>32</v>
      </c>
      <c r="F44" s="170">
        <v>76.33</v>
      </c>
      <c r="G44" s="202">
        <f t="shared" si="11"/>
        <v>44.33</v>
      </c>
      <c r="H44" s="204">
        <f t="shared" si="9"/>
        <v>238.53125</v>
      </c>
      <c r="I44" s="205">
        <f t="shared" si="12"/>
        <v>-13.670000000000002</v>
      </c>
      <c r="J44" s="205">
        <f t="shared" si="14"/>
        <v>84.8111111111111</v>
      </c>
      <c r="K44" s="205">
        <f>F44-0</f>
        <v>76.33</v>
      </c>
      <c r="L44" s="205"/>
      <c r="M44" s="204">
        <f>E44-квітень!E40</f>
        <v>8</v>
      </c>
      <c r="N44" s="208">
        <f>F44-квітень!F40</f>
        <v>76.33</v>
      </c>
      <c r="O44" s="207">
        <f t="shared" si="13"/>
        <v>68.33</v>
      </c>
      <c r="P44" s="205">
        <f t="shared" si="10"/>
        <v>954.125</v>
      </c>
      <c r="Q44" s="42"/>
      <c r="R44" s="100"/>
    </row>
    <row r="45" spans="1:18" s="6" customFormat="1" ht="18" hidden="1">
      <c r="A45" s="8"/>
      <c r="B45" s="145"/>
      <c r="C45" s="54"/>
      <c r="D45" s="33"/>
      <c r="E45" s="33"/>
      <c r="F45" s="170"/>
      <c r="G45" s="202"/>
      <c r="H45" s="204"/>
      <c r="I45" s="205"/>
      <c r="J45" s="205"/>
      <c r="K45" s="205"/>
      <c r="L45" s="205"/>
      <c r="M45" s="204">
        <f>E45-квітень!E41</f>
        <v>0</v>
      </c>
      <c r="N45" s="208">
        <f>F45-квітень!F41</f>
        <v>0</v>
      </c>
      <c r="O45" s="207"/>
      <c r="P45" s="205"/>
      <c r="Q45" s="42"/>
      <c r="R45" s="100"/>
    </row>
    <row r="46" spans="1:18" s="6" customFormat="1" ht="18">
      <c r="A46" s="8"/>
      <c r="B46" s="35" t="s">
        <v>81</v>
      </c>
      <c r="C46" s="77">
        <v>22012500</v>
      </c>
      <c r="D46" s="33">
        <v>9900</v>
      </c>
      <c r="E46" s="33">
        <v>3739.02</v>
      </c>
      <c r="F46" s="170">
        <v>4057.41</v>
      </c>
      <c r="G46" s="202">
        <f t="shared" si="11"/>
        <v>318.3899999999999</v>
      </c>
      <c r="H46" s="204">
        <f t="shared" si="9"/>
        <v>108.51533289471573</v>
      </c>
      <c r="I46" s="205">
        <f t="shared" si="12"/>
        <v>-5842.59</v>
      </c>
      <c r="J46" s="205">
        <f t="shared" si="14"/>
        <v>40.983939393939394</v>
      </c>
      <c r="K46" s="205">
        <f>F46-4115.54</f>
        <v>-58.13000000000011</v>
      </c>
      <c r="L46" s="205">
        <f>F46/4115.54*100</f>
        <v>98.58754865704135</v>
      </c>
      <c r="M46" s="204">
        <f>E46-квітень!E42</f>
        <v>800</v>
      </c>
      <c r="N46" s="208">
        <f>F46-квітень!F42</f>
        <v>856</v>
      </c>
      <c r="O46" s="207">
        <f t="shared" si="13"/>
        <v>56</v>
      </c>
      <c r="P46" s="205">
        <f t="shared" si="10"/>
        <v>107</v>
      </c>
      <c r="Q46" s="42"/>
      <c r="R46" s="100"/>
    </row>
    <row r="47" spans="1:18" s="6" customFormat="1" ht="31.5">
      <c r="A47" s="8"/>
      <c r="B47" s="188" t="s">
        <v>111</v>
      </c>
      <c r="C47" s="77">
        <v>22012600</v>
      </c>
      <c r="D47" s="33">
        <v>1500</v>
      </c>
      <c r="E47" s="33">
        <v>520</v>
      </c>
      <c r="F47" s="170">
        <v>33.93</v>
      </c>
      <c r="G47" s="202">
        <f t="shared" si="11"/>
        <v>-486.07</v>
      </c>
      <c r="H47" s="204">
        <f t="shared" si="9"/>
        <v>6.525</v>
      </c>
      <c r="I47" s="205">
        <f t="shared" si="12"/>
        <v>-1466.07</v>
      </c>
      <c r="J47" s="205">
        <f t="shared" si="14"/>
        <v>2.262</v>
      </c>
      <c r="K47" s="205">
        <f>F47-0</f>
        <v>33.93</v>
      </c>
      <c r="L47" s="205"/>
      <c r="M47" s="204">
        <f>E47-квітень!E43</f>
        <v>130</v>
      </c>
      <c r="N47" s="208">
        <f>F47-квітень!F43</f>
        <v>32.56</v>
      </c>
      <c r="O47" s="207">
        <f t="shared" si="13"/>
        <v>-97.44</v>
      </c>
      <c r="P47" s="205">
        <f t="shared" si="10"/>
        <v>25.046153846153846</v>
      </c>
      <c r="Q47" s="42"/>
      <c r="R47" s="100"/>
    </row>
    <row r="48" spans="1:18" s="6" customFormat="1" ht="31.5">
      <c r="A48" s="8"/>
      <c r="B48" s="188" t="s">
        <v>125</v>
      </c>
      <c r="C48" s="77">
        <v>22012900</v>
      </c>
      <c r="D48" s="33">
        <v>50</v>
      </c>
      <c r="E48" s="33">
        <v>16</v>
      </c>
      <c r="F48" s="170">
        <v>7.72</v>
      </c>
      <c r="G48" s="202">
        <f t="shared" si="11"/>
        <v>-8.280000000000001</v>
      </c>
      <c r="H48" s="204">
        <f t="shared" si="9"/>
        <v>48.25</v>
      </c>
      <c r="I48" s="205">
        <f t="shared" si="12"/>
        <v>-42.28</v>
      </c>
      <c r="J48" s="205">
        <f t="shared" si="14"/>
        <v>15.439999999999998</v>
      </c>
      <c r="K48" s="205">
        <f>F48-0</f>
        <v>7.72</v>
      </c>
      <c r="L48" s="205"/>
      <c r="M48" s="204">
        <f>E48-квітень!E44</f>
        <v>4</v>
      </c>
      <c r="N48" s="208">
        <f>F48-квітень!F44</f>
        <v>7.72</v>
      </c>
      <c r="O48" s="207">
        <f t="shared" si="13"/>
        <v>3.7199999999999998</v>
      </c>
      <c r="P48" s="205">
        <f t="shared" si="10"/>
        <v>193</v>
      </c>
      <c r="Q48" s="42"/>
      <c r="R48" s="100"/>
    </row>
    <row r="49" spans="1:18" s="6" customFormat="1" ht="30.75">
      <c r="A49" s="8"/>
      <c r="B49" s="145" t="s">
        <v>14</v>
      </c>
      <c r="C49" s="54">
        <v>22080400</v>
      </c>
      <c r="D49" s="33">
        <v>8500</v>
      </c>
      <c r="E49" s="33">
        <v>3316.23</v>
      </c>
      <c r="F49" s="170">
        <v>3304.24</v>
      </c>
      <c r="G49" s="202">
        <f t="shared" si="11"/>
        <v>-11.990000000000236</v>
      </c>
      <c r="H49" s="204">
        <f t="shared" si="9"/>
        <v>99.63844486057963</v>
      </c>
      <c r="I49" s="205">
        <f t="shared" si="12"/>
        <v>-5195.76</v>
      </c>
      <c r="J49" s="205">
        <f t="shared" si="14"/>
        <v>38.87341176470588</v>
      </c>
      <c r="K49" s="205">
        <f>F49-3403.14</f>
        <v>-98.90000000000009</v>
      </c>
      <c r="L49" s="205">
        <f>F49/3403.14*100</f>
        <v>97.09386037600568</v>
      </c>
      <c r="M49" s="204">
        <f>E49-квітень!E45</f>
        <v>650</v>
      </c>
      <c r="N49" s="208">
        <f>F49-квітень!F45</f>
        <v>672.8919999999998</v>
      </c>
      <c r="O49" s="207">
        <f t="shared" si="13"/>
        <v>22.891999999999825</v>
      </c>
      <c r="P49" s="205">
        <f t="shared" si="10"/>
        <v>103.52184615384613</v>
      </c>
      <c r="Q49" s="42"/>
      <c r="R49" s="100"/>
    </row>
    <row r="50" spans="1:18" s="6" customFormat="1" ht="18">
      <c r="A50" s="8"/>
      <c r="B50" s="145" t="s">
        <v>15</v>
      </c>
      <c r="C50" s="48">
        <v>22090000</v>
      </c>
      <c r="D50" s="33">
        <v>7300</v>
      </c>
      <c r="E50" s="33">
        <v>2553.19</v>
      </c>
      <c r="F50" s="170">
        <v>2573.46</v>
      </c>
      <c r="G50" s="202">
        <f t="shared" si="11"/>
        <v>20.269999999999982</v>
      </c>
      <c r="H50" s="204">
        <f t="shared" si="9"/>
        <v>100.7939087964468</v>
      </c>
      <c r="I50" s="205">
        <f t="shared" si="12"/>
        <v>-4726.54</v>
      </c>
      <c r="J50" s="205">
        <f t="shared" si="14"/>
        <v>35.25287671232877</v>
      </c>
      <c r="K50" s="205">
        <f>F50-3368.6</f>
        <v>-795.1399999999999</v>
      </c>
      <c r="L50" s="205">
        <f>F50/3368.6*100</f>
        <v>76.39553523719053</v>
      </c>
      <c r="M50" s="204">
        <f>E50-квітень!E46</f>
        <v>539</v>
      </c>
      <c r="N50" s="208">
        <f>F50-квітень!F46</f>
        <v>574.72</v>
      </c>
      <c r="O50" s="207">
        <f t="shared" si="13"/>
        <v>35.72000000000003</v>
      </c>
      <c r="P50" s="205">
        <f t="shared" si="10"/>
        <v>106.62708719851577</v>
      </c>
      <c r="Q50" s="42"/>
      <c r="R50" s="100"/>
    </row>
    <row r="51" spans="1:18" s="6" customFormat="1" ht="15" hidden="1">
      <c r="A51" s="8"/>
      <c r="B51" s="55" t="s">
        <v>101</v>
      </c>
      <c r="C51" s="138">
        <v>22090100</v>
      </c>
      <c r="D51" s="109">
        <v>1100</v>
      </c>
      <c r="E51" s="109">
        <v>366.99</v>
      </c>
      <c r="F51" s="171">
        <v>367.55</v>
      </c>
      <c r="G51" s="36">
        <f t="shared" si="11"/>
        <v>0.5600000000000023</v>
      </c>
      <c r="H51" s="32">
        <f t="shared" si="9"/>
        <v>100.15259271369791</v>
      </c>
      <c r="I51" s="110">
        <f t="shared" si="12"/>
        <v>-732.45</v>
      </c>
      <c r="J51" s="110">
        <f t="shared" si="14"/>
        <v>33.413636363636364</v>
      </c>
      <c r="K51" s="110">
        <f>F51-397.7</f>
        <v>-30.149999999999977</v>
      </c>
      <c r="L51" s="110">
        <f>F51/397.7*100</f>
        <v>92.41890872516973</v>
      </c>
      <c r="M51" s="111">
        <f>E51-квітень!E47</f>
        <v>78</v>
      </c>
      <c r="N51" s="179">
        <f>F51-квітень!F47</f>
        <v>132.13000000000002</v>
      </c>
      <c r="O51" s="112">
        <f t="shared" si="13"/>
        <v>54.130000000000024</v>
      </c>
      <c r="P51" s="132">
        <f t="shared" si="10"/>
        <v>169.3974358974359</v>
      </c>
      <c r="Q51" s="42"/>
      <c r="R51" s="100"/>
    </row>
    <row r="52" spans="1:18" s="6" customFormat="1" ht="15" hidden="1">
      <c r="A52" s="8"/>
      <c r="B52" s="55" t="s">
        <v>98</v>
      </c>
      <c r="C52" s="138">
        <v>22090200</v>
      </c>
      <c r="D52" s="109">
        <v>45</v>
      </c>
      <c r="E52" s="109">
        <v>4.04</v>
      </c>
      <c r="F52" s="171">
        <v>0.23</v>
      </c>
      <c r="G52" s="36">
        <f t="shared" si="11"/>
        <v>-3.81</v>
      </c>
      <c r="H52" s="32">
        <f t="shared" si="9"/>
        <v>5.693069306930694</v>
      </c>
      <c r="I52" s="110">
        <f t="shared" si="12"/>
        <v>-44.77</v>
      </c>
      <c r="J52" s="110">
        <f t="shared" si="14"/>
        <v>0.5111111111111112</v>
      </c>
      <c r="K52" s="110">
        <f>F52-44.74</f>
        <v>-44.510000000000005</v>
      </c>
      <c r="L52" s="110">
        <f>F52/44.74*100</f>
        <v>0.5140813589628968</v>
      </c>
      <c r="M52" s="111">
        <f>E52-квітень!E48</f>
        <v>1</v>
      </c>
      <c r="N52" s="179">
        <f>F52-квітень!F48</f>
        <v>0.08000000000000002</v>
      </c>
      <c r="O52" s="112">
        <f t="shared" si="13"/>
        <v>-0.9199999999999999</v>
      </c>
      <c r="P52" s="132">
        <f t="shared" si="10"/>
        <v>8.000000000000002</v>
      </c>
      <c r="Q52" s="42"/>
      <c r="R52" s="100"/>
    </row>
    <row r="53" spans="1:18" s="6" customFormat="1" ht="15" hidden="1">
      <c r="A53" s="8"/>
      <c r="B53" s="55" t="s">
        <v>99</v>
      </c>
      <c r="C53" s="138">
        <v>22090300</v>
      </c>
      <c r="D53" s="109">
        <v>1</v>
      </c>
      <c r="E53" s="109">
        <v>0</v>
      </c>
      <c r="F53" s="171">
        <v>0.02</v>
      </c>
      <c r="G53" s="36">
        <f t="shared" si="11"/>
        <v>0.02</v>
      </c>
      <c r="H53" s="32"/>
      <c r="I53" s="110">
        <f t="shared" si="12"/>
        <v>-0.98</v>
      </c>
      <c r="J53" s="110">
        <f t="shared" si="14"/>
        <v>2</v>
      </c>
      <c r="K53" s="110">
        <f>F53-0.73</f>
        <v>-0.71</v>
      </c>
      <c r="L53" s="110">
        <f>F53/0.73*100</f>
        <v>2.7397260273972606</v>
      </c>
      <c r="M53" s="111">
        <f>E53-квітень!E49</f>
        <v>0</v>
      </c>
      <c r="N53" s="179">
        <f>F53-квітень!F49</f>
        <v>0.02</v>
      </c>
      <c r="O53" s="112">
        <f t="shared" si="13"/>
        <v>0.02</v>
      </c>
      <c r="P53" s="132"/>
      <c r="Q53" s="42"/>
      <c r="R53" s="100"/>
    </row>
    <row r="54" spans="1:18" s="6" customFormat="1" ht="15" hidden="1">
      <c r="A54" s="8"/>
      <c r="B54" s="55" t="s">
        <v>100</v>
      </c>
      <c r="C54" s="138">
        <v>22090400</v>
      </c>
      <c r="D54" s="109">
        <v>6154</v>
      </c>
      <c r="E54" s="109">
        <v>2182.17</v>
      </c>
      <c r="F54" s="171">
        <v>2205.67</v>
      </c>
      <c r="G54" s="36">
        <f t="shared" si="11"/>
        <v>23.5</v>
      </c>
      <c r="H54" s="32">
        <f t="shared" si="9"/>
        <v>101.07690968164718</v>
      </c>
      <c r="I54" s="110">
        <f t="shared" si="12"/>
        <v>-3948.33</v>
      </c>
      <c r="J54" s="110">
        <f t="shared" si="14"/>
        <v>35.841241468963275</v>
      </c>
      <c r="K54" s="110">
        <f>F54-2925.43</f>
        <v>-719.7599999999998</v>
      </c>
      <c r="L54" s="110">
        <f>F54/2925.43*100</f>
        <v>75.3964374468027</v>
      </c>
      <c r="M54" s="111">
        <f>E54-квітень!E50</f>
        <v>460</v>
      </c>
      <c r="N54" s="179">
        <f>F54-квітень!F50</f>
        <v>442.51</v>
      </c>
      <c r="O54" s="112">
        <f t="shared" si="13"/>
        <v>-17.49000000000001</v>
      </c>
      <c r="P54" s="132">
        <f t="shared" si="10"/>
        <v>96.19782608695651</v>
      </c>
      <c r="Q54" s="42"/>
      <c r="R54" s="100"/>
    </row>
    <row r="55" spans="1:18" s="6" customFormat="1" ht="46.5">
      <c r="A55" s="8"/>
      <c r="B55" s="13" t="s">
        <v>17</v>
      </c>
      <c r="C55" s="11" t="s">
        <v>18</v>
      </c>
      <c r="D55" s="33">
        <v>10</v>
      </c>
      <c r="E55" s="33">
        <v>0.17</v>
      </c>
      <c r="F55" s="170">
        <v>2.46</v>
      </c>
      <c r="G55" s="202">
        <f t="shared" si="11"/>
        <v>2.29</v>
      </c>
      <c r="H55" s="204">
        <f t="shared" si="9"/>
        <v>1447.0588235294117</v>
      </c>
      <c r="I55" s="205">
        <f t="shared" si="12"/>
        <v>-7.54</v>
      </c>
      <c r="J55" s="205">
        <f t="shared" si="14"/>
        <v>24.6</v>
      </c>
      <c r="K55" s="205">
        <f>F55-0</f>
        <v>2.46</v>
      </c>
      <c r="L55" s="205"/>
      <c r="M55" s="204">
        <f>E55-квітень!E51</f>
        <v>0</v>
      </c>
      <c r="N55" s="208">
        <f>F55-квітень!F51</f>
        <v>0</v>
      </c>
      <c r="O55" s="207">
        <f t="shared" si="13"/>
        <v>0</v>
      </c>
      <c r="P55" s="205"/>
      <c r="Q55" s="42"/>
      <c r="R55" s="100"/>
    </row>
    <row r="56" spans="1:18" s="6" customFormat="1" ht="15.75" customHeight="1">
      <c r="A56" s="8"/>
      <c r="B56" s="146" t="s">
        <v>13</v>
      </c>
      <c r="C56" s="11" t="s">
        <v>19</v>
      </c>
      <c r="D56" s="33">
        <v>4800</v>
      </c>
      <c r="E56" s="33">
        <v>1867.98</v>
      </c>
      <c r="F56" s="170">
        <v>2320.11</v>
      </c>
      <c r="G56" s="202">
        <f t="shared" si="11"/>
        <v>452.1300000000001</v>
      </c>
      <c r="H56" s="204">
        <f t="shared" si="9"/>
        <v>124.20422060193363</v>
      </c>
      <c r="I56" s="205">
        <f t="shared" si="12"/>
        <v>-2479.89</v>
      </c>
      <c r="J56" s="205">
        <f t="shared" si="14"/>
        <v>48.33562500000001</v>
      </c>
      <c r="K56" s="205">
        <f>F56-1827.87</f>
        <v>492.24000000000024</v>
      </c>
      <c r="L56" s="205">
        <f>F56/1827.87*100</f>
        <v>126.92970506655288</v>
      </c>
      <c r="M56" s="204">
        <f>E56-квітень!E52</f>
        <v>390</v>
      </c>
      <c r="N56" s="208">
        <f>F56-квітень!F52</f>
        <v>345.6500000000001</v>
      </c>
      <c r="O56" s="207">
        <f t="shared" si="13"/>
        <v>-44.34999999999991</v>
      </c>
      <c r="P56" s="205">
        <f t="shared" si="10"/>
        <v>88.62820512820515</v>
      </c>
      <c r="Q56" s="42"/>
      <c r="R56" s="100"/>
    </row>
    <row r="57" spans="1:18" s="6" customFormat="1" ht="18" hidden="1">
      <c r="A57" s="8"/>
      <c r="B57" s="12" t="s">
        <v>22</v>
      </c>
      <c r="C57" s="66" t="s">
        <v>23</v>
      </c>
      <c r="D57" s="33">
        <v>0</v>
      </c>
      <c r="E57" s="33">
        <v>0</v>
      </c>
      <c r="F57" s="170">
        <v>0</v>
      </c>
      <c r="G57" s="202">
        <f t="shared" si="11"/>
        <v>0</v>
      </c>
      <c r="H57" s="204" t="e">
        <f t="shared" si="9"/>
        <v>#DIV/0!</v>
      </c>
      <c r="I57" s="205">
        <f t="shared" si="12"/>
        <v>0</v>
      </c>
      <c r="J57" s="205" t="e">
        <f t="shared" si="14"/>
        <v>#DIV/0!</v>
      </c>
      <c r="K57" s="205"/>
      <c r="L57" s="205">
        <f>F57</f>
        <v>0</v>
      </c>
      <c r="M57" s="204">
        <f>E57-квітень!E53</f>
        <v>0</v>
      </c>
      <c r="N57" s="208">
        <f>F57-квітень!F53</f>
        <v>0</v>
      </c>
      <c r="O57" s="207">
        <f t="shared" si="13"/>
        <v>0</v>
      </c>
      <c r="P57" s="205" t="e">
        <f t="shared" si="10"/>
        <v>#DIV/0!</v>
      </c>
      <c r="Q57" s="42"/>
      <c r="R57" s="100"/>
    </row>
    <row r="58" spans="1:18" s="6" customFormat="1" ht="30.75">
      <c r="A58" s="8"/>
      <c r="B58" s="55" t="s">
        <v>43</v>
      </c>
      <c r="C58" s="66"/>
      <c r="D58" s="109"/>
      <c r="E58" s="109"/>
      <c r="F58" s="171">
        <f>478.37+0.3</f>
        <v>478.67</v>
      </c>
      <c r="G58" s="202"/>
      <c r="H58" s="204"/>
      <c r="I58" s="205"/>
      <c r="J58" s="205"/>
      <c r="K58" s="206">
        <f>F58-430.9</f>
        <v>47.77000000000004</v>
      </c>
      <c r="L58" s="206">
        <f>F58/430.9*100</f>
        <v>111.08609886284522</v>
      </c>
      <c r="M58" s="236"/>
      <c r="N58" s="220">
        <f>F58-квітень!F54</f>
        <v>91.31</v>
      </c>
      <c r="O58" s="206"/>
      <c r="P58" s="205"/>
      <c r="Q58" s="42"/>
      <c r="R58" s="100"/>
    </row>
    <row r="59" spans="1:18" s="6" customFormat="1" ht="18" hidden="1">
      <c r="A59" s="8"/>
      <c r="B59" s="146" t="s">
        <v>20</v>
      </c>
      <c r="C59" s="143" t="s">
        <v>21</v>
      </c>
      <c r="D59" s="36">
        <v>0</v>
      </c>
      <c r="E59" s="36">
        <v>0</v>
      </c>
      <c r="F59" s="172">
        <v>0</v>
      </c>
      <c r="G59" s="202">
        <f t="shared" si="11"/>
        <v>0</v>
      </c>
      <c r="H59" s="204"/>
      <c r="I59" s="205">
        <f t="shared" si="12"/>
        <v>0</v>
      </c>
      <c r="J59" s="205"/>
      <c r="K59" s="206"/>
      <c r="L59" s="206"/>
      <c r="M59" s="204">
        <f>E59-квітень!E55</f>
        <v>0</v>
      </c>
      <c r="N59" s="208">
        <f>F59-квітень!F55</f>
        <v>0</v>
      </c>
      <c r="O59" s="207">
        <f t="shared" si="13"/>
        <v>0</v>
      </c>
      <c r="P59" s="205"/>
      <c r="Q59" s="42"/>
      <c r="R59" s="100"/>
    </row>
    <row r="60" spans="1:18" s="6" customFormat="1" ht="44.25" customHeight="1">
      <c r="A60" s="8"/>
      <c r="B60" s="146" t="s">
        <v>44</v>
      </c>
      <c r="C60" s="48">
        <v>24061900</v>
      </c>
      <c r="D60" s="33">
        <v>20</v>
      </c>
      <c r="E60" s="33">
        <v>20</v>
      </c>
      <c r="F60" s="170">
        <v>41.05</v>
      </c>
      <c r="G60" s="202">
        <f t="shared" si="11"/>
        <v>21.049999999999997</v>
      </c>
      <c r="H60" s="204">
        <f t="shared" si="9"/>
        <v>205.24999999999997</v>
      </c>
      <c r="I60" s="205">
        <f t="shared" si="12"/>
        <v>21.049999999999997</v>
      </c>
      <c r="J60" s="205">
        <f t="shared" si="14"/>
        <v>205.24999999999997</v>
      </c>
      <c r="K60" s="205">
        <f>F60-0</f>
        <v>41.05</v>
      </c>
      <c r="L60" s="205"/>
      <c r="M60" s="204">
        <f>E60-квітень!E56</f>
        <v>0</v>
      </c>
      <c r="N60" s="208">
        <f>F60-квітень!F56</f>
        <v>7.959999999999994</v>
      </c>
      <c r="O60" s="207">
        <f t="shared" si="13"/>
        <v>7.959999999999994</v>
      </c>
      <c r="P60" s="205"/>
      <c r="Q60" s="42"/>
      <c r="R60" s="100"/>
    </row>
    <row r="61" spans="1:18" s="6" customFormat="1" ht="30.75">
      <c r="A61" s="8"/>
      <c r="B61" s="12" t="s">
        <v>45</v>
      </c>
      <c r="C61" s="48">
        <v>31010200</v>
      </c>
      <c r="D61" s="33">
        <v>30</v>
      </c>
      <c r="E61" s="33">
        <v>9.9</v>
      </c>
      <c r="F61" s="170">
        <v>13.52</v>
      </c>
      <c r="G61" s="202">
        <f t="shared" si="11"/>
        <v>3.619999999999999</v>
      </c>
      <c r="H61" s="204">
        <f t="shared" si="9"/>
        <v>136.56565656565655</v>
      </c>
      <c r="I61" s="205">
        <f t="shared" si="12"/>
        <v>-16.48</v>
      </c>
      <c r="J61" s="205">
        <f t="shared" si="14"/>
        <v>45.06666666666666</v>
      </c>
      <c r="K61" s="205">
        <f>F61-6.52</f>
        <v>7</v>
      </c>
      <c r="L61" s="205">
        <f>F61/6.52*100</f>
        <v>207.36196319018404</v>
      </c>
      <c r="M61" s="204">
        <f>E61-квітень!E57</f>
        <v>2.3000000000000007</v>
      </c>
      <c r="N61" s="208">
        <f>F61-квітень!F57</f>
        <v>0.009999999999999787</v>
      </c>
      <c r="O61" s="207">
        <f t="shared" si="13"/>
        <v>-2.290000000000001</v>
      </c>
      <c r="P61" s="205">
        <f t="shared" si="10"/>
        <v>0.43478260869564284</v>
      </c>
      <c r="Q61" s="42"/>
      <c r="R61" s="100"/>
    </row>
    <row r="62" spans="1:18" s="6" customFormat="1" ht="30.75">
      <c r="A62" s="8"/>
      <c r="B62" s="12" t="s">
        <v>58</v>
      </c>
      <c r="C62" s="48">
        <v>31020000</v>
      </c>
      <c r="D62" s="33">
        <v>0.6</v>
      </c>
      <c r="E62" s="33">
        <v>0</v>
      </c>
      <c r="F62" s="170">
        <v>0.4</v>
      </c>
      <c r="G62" s="202">
        <f t="shared" si="11"/>
        <v>0.4</v>
      </c>
      <c r="H62" s="204"/>
      <c r="I62" s="205">
        <f t="shared" si="12"/>
        <v>-0.19999999999999996</v>
      </c>
      <c r="J62" s="205"/>
      <c r="K62" s="205">
        <f>F62-0.02</f>
        <v>0.38</v>
      </c>
      <c r="L62" s="205"/>
      <c r="M62" s="204">
        <f>E62-квітень!E58</f>
        <v>0</v>
      </c>
      <c r="N62" s="208">
        <f>F62-квітень!F58</f>
        <v>0.040000000000000036</v>
      </c>
      <c r="O62" s="207">
        <f t="shared" si="13"/>
        <v>0.040000000000000036</v>
      </c>
      <c r="P62" s="205"/>
      <c r="Q62" s="42"/>
      <c r="R62" s="100"/>
    </row>
    <row r="63" spans="1:20" s="6" customFormat="1" ht="18">
      <c r="A63" s="9"/>
      <c r="B63" s="14" t="s">
        <v>28</v>
      </c>
      <c r="C63" s="67"/>
      <c r="D63" s="191">
        <f>D8+D37+D61+D62</f>
        <v>883900.6</v>
      </c>
      <c r="E63" s="191">
        <f>E8+E37+E61+E62</f>
        <v>370253.41000000003</v>
      </c>
      <c r="F63" s="191">
        <f>F8+F37+F61+F62</f>
        <v>397849.29</v>
      </c>
      <c r="G63" s="191">
        <f>F63-E63</f>
        <v>27595.879999999946</v>
      </c>
      <c r="H63" s="192">
        <f>F63/E63*100</f>
        <v>107.45324128142397</v>
      </c>
      <c r="I63" s="193">
        <f>F63-D63</f>
        <v>-486051.31</v>
      </c>
      <c r="J63" s="193">
        <f>F63/D63*100</f>
        <v>45.010636942660746</v>
      </c>
      <c r="K63" s="193">
        <f>F63-265734.15</f>
        <v>132115.13999999996</v>
      </c>
      <c r="L63" s="193">
        <f>F63/265734.15*100</f>
        <v>149.71703486360332</v>
      </c>
      <c r="M63" s="191">
        <f>M8+M37+M61+M62</f>
        <v>84325.10000000002</v>
      </c>
      <c r="N63" s="191">
        <f>N8+N37+N61+N62</f>
        <v>86944.146</v>
      </c>
      <c r="O63" s="195">
        <f>N63-M63</f>
        <v>2619.045999999973</v>
      </c>
      <c r="P63" s="193">
        <f>N63/M63*100</f>
        <v>103.10589136567876</v>
      </c>
      <c r="Q63" s="28">
        <f>N63-34768</f>
        <v>52176.14599999999</v>
      </c>
      <c r="R63" s="128">
        <f>N63/34768</f>
        <v>2.5006944891854577</v>
      </c>
      <c r="T63" s="147"/>
    </row>
    <row r="64" spans="1:18" s="53" customFormat="1" ht="17.25" hidden="1">
      <c r="A64" s="50"/>
      <c r="B64" s="60"/>
      <c r="C64" s="68"/>
      <c r="D64" s="51"/>
      <c r="E64" s="51"/>
      <c r="F64" s="88"/>
      <c r="G64" s="82"/>
      <c r="H64" s="52"/>
      <c r="I64" s="59"/>
      <c r="J64" s="39"/>
      <c r="K64" s="39"/>
      <c r="L64" s="39"/>
      <c r="M64" s="52"/>
      <c r="N64" s="51"/>
      <c r="O64" s="85"/>
      <c r="P64" s="39"/>
      <c r="Q64" s="39"/>
      <c r="R64" s="102"/>
    </row>
    <row r="65" spans="1:18" s="53" customFormat="1" ht="17.25" hidden="1">
      <c r="A65" s="50"/>
      <c r="B65" s="61"/>
      <c r="C65" s="68"/>
      <c r="D65" s="62"/>
      <c r="E65" s="51"/>
      <c r="F65" s="88"/>
      <c r="G65" s="45"/>
      <c r="H65" s="52"/>
      <c r="I65" s="63"/>
      <c r="J65" s="39"/>
      <c r="K65" s="39"/>
      <c r="L65" s="39"/>
      <c r="M65" s="32"/>
      <c r="N65" s="51"/>
      <c r="O65" s="64"/>
      <c r="P65" s="39"/>
      <c r="Q65" s="39"/>
      <c r="R65" s="102"/>
    </row>
    <row r="66" spans="1:18" s="53" customFormat="1" ht="17.25" hidden="1">
      <c r="A66" s="50"/>
      <c r="B66" s="61"/>
      <c r="C66" s="68"/>
      <c r="D66" s="62"/>
      <c r="E66" s="36"/>
      <c r="F66" s="121"/>
      <c r="G66" s="45"/>
      <c r="H66" s="52"/>
      <c r="I66" s="63"/>
      <c r="J66" s="39"/>
      <c r="K66" s="39"/>
      <c r="L66" s="39"/>
      <c r="M66" s="32"/>
      <c r="N66" s="62"/>
      <c r="O66" s="85"/>
      <c r="P66" s="39"/>
      <c r="Q66" s="39"/>
      <c r="R66" s="102"/>
    </row>
    <row r="67" spans="2:18" ht="15">
      <c r="B67" s="22" t="s">
        <v>138</v>
      </c>
      <c r="C67" s="69"/>
      <c r="D67" s="25"/>
      <c r="E67" s="25"/>
      <c r="F67" s="175"/>
      <c r="G67" s="36"/>
      <c r="H67" s="32"/>
      <c r="I67" s="43"/>
      <c r="J67" s="43"/>
      <c r="K67" s="43"/>
      <c r="L67" s="43"/>
      <c r="M67" s="33"/>
      <c r="N67" s="181"/>
      <c r="O67" s="40"/>
      <c r="P67" s="43"/>
      <c r="Q67" s="43"/>
      <c r="R67" s="103"/>
    </row>
    <row r="68" spans="2:18" ht="25.5" customHeight="1">
      <c r="B68" s="149" t="s">
        <v>112</v>
      </c>
      <c r="C68" s="150">
        <v>12020000</v>
      </c>
      <c r="D68" s="221">
        <v>0</v>
      </c>
      <c r="E68" s="221"/>
      <c r="F68" s="222">
        <v>0.01</v>
      </c>
      <c r="G68" s="202"/>
      <c r="H68" s="204"/>
      <c r="I68" s="207"/>
      <c r="J68" s="207"/>
      <c r="K68" s="207">
        <f>F68-0</f>
        <v>0.01</v>
      </c>
      <c r="L68" s="207"/>
      <c r="M68" s="202"/>
      <c r="N68" s="223">
        <f>F68-квітень!F64</f>
        <v>-4.49</v>
      </c>
      <c r="O68" s="207"/>
      <c r="P68" s="207"/>
      <c r="Q68" s="43"/>
      <c r="R68" s="103"/>
    </row>
    <row r="69" spans="2:18" ht="31.5">
      <c r="B69" s="23" t="s">
        <v>63</v>
      </c>
      <c r="C69" s="78">
        <v>18041500</v>
      </c>
      <c r="D69" s="221">
        <v>0</v>
      </c>
      <c r="E69" s="221"/>
      <c r="F69" s="222">
        <v>-0.27</v>
      </c>
      <c r="G69" s="202">
        <f>F69-E69</f>
        <v>-0.27</v>
      </c>
      <c r="H69" s="204"/>
      <c r="I69" s="207">
        <f>F69-D69</f>
        <v>-0.27</v>
      </c>
      <c r="J69" s="207"/>
      <c r="K69" s="207">
        <f>F69-(-19.39)</f>
        <v>19.12</v>
      </c>
      <c r="L69" s="207">
        <f>F69/(-19.39)*100</f>
        <v>1.3924703455389378</v>
      </c>
      <c r="M69" s="204"/>
      <c r="N69" s="223">
        <f>F69-квітень!F65</f>
        <v>0</v>
      </c>
      <c r="O69" s="207">
        <f>N69-M69</f>
        <v>0</v>
      </c>
      <c r="P69" s="207"/>
      <c r="Q69" s="43"/>
      <c r="R69" s="103"/>
    </row>
    <row r="70" spans="2:18" ht="17.25">
      <c r="B70" s="29" t="s">
        <v>46</v>
      </c>
      <c r="C70" s="79"/>
      <c r="D70" s="224">
        <f>D69</f>
        <v>0</v>
      </c>
      <c r="E70" s="224">
        <f>E69</f>
        <v>0</v>
      </c>
      <c r="F70" s="225">
        <f>SUM(F68:F69)</f>
        <v>-0.26</v>
      </c>
      <c r="G70" s="226">
        <f>F70-E70</f>
        <v>-0.26</v>
      </c>
      <c r="H70" s="227"/>
      <c r="I70" s="228">
        <f>F70-D70</f>
        <v>-0.26</v>
      </c>
      <c r="J70" s="228"/>
      <c r="K70" s="228">
        <f>F70-(-19.39)</f>
        <v>19.13</v>
      </c>
      <c r="L70" s="228">
        <f>F70/(-19.39)*100</f>
        <v>1.3408973697782363</v>
      </c>
      <c r="M70" s="226">
        <f>M69</f>
        <v>0</v>
      </c>
      <c r="N70" s="229">
        <f>SUM(N68:N69)</f>
        <v>-4.49</v>
      </c>
      <c r="O70" s="228">
        <f>N70-M70</f>
        <v>-4.49</v>
      </c>
      <c r="P70" s="228"/>
      <c r="Q70" s="44"/>
      <c r="R70" s="104"/>
    </row>
    <row r="71" spans="2:18" ht="46.5" hidden="1">
      <c r="B71" s="23" t="s">
        <v>38</v>
      </c>
      <c r="C71" s="79">
        <v>21110000</v>
      </c>
      <c r="D71" s="221">
        <v>0</v>
      </c>
      <c r="E71" s="221"/>
      <c r="F71" s="222">
        <v>0</v>
      </c>
      <c r="G71" s="202" t="e">
        <f>#N/A</f>
        <v>#N/A</v>
      </c>
      <c r="H71" s="204" t="e">
        <f>F71/E71*100</f>
        <v>#DIV/0!</v>
      </c>
      <c r="I71" s="207" t="e">
        <f>#N/A</f>
        <v>#N/A</v>
      </c>
      <c r="J71" s="207" t="e">
        <f>#N/A</f>
        <v>#N/A</v>
      </c>
      <c r="K71" s="207"/>
      <c r="L71" s="207"/>
      <c r="M71" s="202">
        <v>0</v>
      </c>
      <c r="N71" s="223">
        <f>F71</f>
        <v>0</v>
      </c>
      <c r="O71" s="207" t="e">
        <f>#N/A</f>
        <v>#N/A</v>
      </c>
      <c r="P71" s="207"/>
      <c r="Q71" s="43"/>
      <c r="R71" s="103"/>
    </row>
    <row r="72" spans="2:18" ht="31.5">
      <c r="B72" s="23" t="s">
        <v>30</v>
      </c>
      <c r="C72" s="78">
        <v>31030000</v>
      </c>
      <c r="D72" s="221">
        <v>4200</v>
      </c>
      <c r="E72" s="221">
        <v>913</v>
      </c>
      <c r="F72" s="222">
        <v>1041.97</v>
      </c>
      <c r="G72" s="202">
        <f aca="true" t="shared" si="15" ref="G72:G82">F72-E72</f>
        <v>128.97000000000003</v>
      </c>
      <c r="H72" s="204"/>
      <c r="I72" s="207">
        <f aca="true" t="shared" si="16" ref="I72:I82">F72-D72</f>
        <v>-3158.0299999999997</v>
      </c>
      <c r="J72" s="207">
        <f>F72/D72*100</f>
        <v>24.808809523809526</v>
      </c>
      <c r="K72" s="207">
        <f>F72-193.96</f>
        <v>848.01</v>
      </c>
      <c r="L72" s="207">
        <f>F72/193.96*100</f>
        <v>537.2087028253248</v>
      </c>
      <c r="M72" s="204">
        <f>E72-квітень!E68</f>
        <v>546.4</v>
      </c>
      <c r="N72" s="208">
        <f>F72-квітень!F68</f>
        <v>741.09</v>
      </c>
      <c r="O72" s="207">
        <f aca="true" t="shared" si="17" ref="O72:O85">N72-M72</f>
        <v>194.69000000000005</v>
      </c>
      <c r="P72" s="207">
        <f>N72/M72*100</f>
        <v>135.6314055636896</v>
      </c>
      <c r="Q72" s="43"/>
      <c r="R72" s="103"/>
    </row>
    <row r="73" spans="2:18" ht="18">
      <c r="B73" s="23" t="s">
        <v>31</v>
      </c>
      <c r="C73" s="78">
        <v>33010000</v>
      </c>
      <c r="D73" s="221">
        <v>7459</v>
      </c>
      <c r="E73" s="221">
        <v>1951.11</v>
      </c>
      <c r="F73" s="222">
        <v>869.23</v>
      </c>
      <c r="G73" s="202">
        <f t="shared" si="15"/>
        <v>-1081.8799999999999</v>
      </c>
      <c r="H73" s="204">
        <f>F73/E73*100</f>
        <v>44.55053789893958</v>
      </c>
      <c r="I73" s="207">
        <f t="shared" si="16"/>
        <v>-6589.77</v>
      </c>
      <c r="J73" s="207">
        <f>F73/D73*100</f>
        <v>11.65343879876659</v>
      </c>
      <c r="K73" s="207">
        <f>F73-2467.51</f>
        <v>-1598.2800000000002</v>
      </c>
      <c r="L73" s="207">
        <f>F73/2467.51*100</f>
        <v>35.22701022488257</v>
      </c>
      <c r="M73" s="204">
        <f>E73-квітень!E69</f>
        <v>317.0999999999999</v>
      </c>
      <c r="N73" s="208">
        <f>F73-квітень!F69</f>
        <v>396.97</v>
      </c>
      <c r="O73" s="207">
        <f t="shared" si="17"/>
        <v>79.87000000000012</v>
      </c>
      <c r="P73" s="207">
        <f>N73/M73*100</f>
        <v>125.18763796909498</v>
      </c>
      <c r="Q73" s="43"/>
      <c r="R73" s="103"/>
    </row>
    <row r="74" spans="2:18" ht="31.5">
      <c r="B74" s="23" t="s">
        <v>55</v>
      </c>
      <c r="C74" s="78">
        <v>24170000</v>
      </c>
      <c r="D74" s="221">
        <v>6000</v>
      </c>
      <c r="E74" s="221">
        <v>1490.85</v>
      </c>
      <c r="F74" s="222">
        <v>9113.39</v>
      </c>
      <c r="G74" s="202">
        <f t="shared" si="15"/>
        <v>7622.539999999999</v>
      </c>
      <c r="H74" s="204">
        <f>F74/E74*100</f>
        <v>611.2881913002649</v>
      </c>
      <c r="I74" s="207">
        <f t="shared" si="16"/>
        <v>3113.3899999999994</v>
      </c>
      <c r="J74" s="207">
        <f>F74/D74*100</f>
        <v>151.8898333333333</v>
      </c>
      <c r="K74" s="207">
        <f>F74-1668.2</f>
        <v>7445.19</v>
      </c>
      <c r="L74" s="207">
        <f>F74/1668.2*100</f>
        <v>546.3008032609998</v>
      </c>
      <c r="M74" s="204">
        <f>E74-квітень!E70</f>
        <v>302</v>
      </c>
      <c r="N74" s="208">
        <f>F74-квітень!F70</f>
        <v>303.3099999999995</v>
      </c>
      <c r="O74" s="207">
        <f t="shared" si="17"/>
        <v>1.3099999999994907</v>
      </c>
      <c r="P74" s="207">
        <f>N74/M74*100</f>
        <v>100.43377483443692</v>
      </c>
      <c r="Q74" s="43"/>
      <c r="R74" s="103"/>
    </row>
    <row r="75" spans="2:18" ht="18">
      <c r="B75" s="23" t="s">
        <v>113</v>
      </c>
      <c r="C75" s="78">
        <v>24110700</v>
      </c>
      <c r="D75" s="221">
        <v>12</v>
      </c>
      <c r="E75" s="221">
        <v>5</v>
      </c>
      <c r="F75" s="222">
        <v>5</v>
      </c>
      <c r="G75" s="202">
        <f t="shared" si="15"/>
        <v>0</v>
      </c>
      <c r="H75" s="204">
        <f>F75/E75*100</f>
        <v>100</v>
      </c>
      <c r="I75" s="207">
        <f t="shared" si="16"/>
        <v>-7</v>
      </c>
      <c r="J75" s="207">
        <f>F75/D75*100</f>
        <v>41.66666666666667</v>
      </c>
      <c r="K75" s="207">
        <f>F75-0</f>
        <v>5</v>
      </c>
      <c r="L75" s="207"/>
      <c r="M75" s="204">
        <f>E75-квітень!E71</f>
        <v>1</v>
      </c>
      <c r="N75" s="208">
        <f>F75-квітень!F71</f>
        <v>1</v>
      </c>
      <c r="O75" s="207">
        <f t="shared" si="17"/>
        <v>0</v>
      </c>
      <c r="P75" s="207">
        <f>N75/M75*100</f>
        <v>100</v>
      </c>
      <c r="Q75" s="43"/>
      <c r="R75" s="151"/>
    </row>
    <row r="76" spans="2:18" ht="33">
      <c r="B76" s="29" t="s">
        <v>52</v>
      </c>
      <c r="C76" s="70"/>
      <c r="D76" s="224">
        <f>D72+D73+D74+D75</f>
        <v>17671</v>
      </c>
      <c r="E76" s="224">
        <f>E72+E73+E74+E75</f>
        <v>4359.959999999999</v>
      </c>
      <c r="F76" s="225">
        <f>F72+F73+F74+F75</f>
        <v>11029.59</v>
      </c>
      <c r="G76" s="226">
        <f t="shared" si="15"/>
        <v>6669.630000000001</v>
      </c>
      <c r="H76" s="227">
        <f>F76/E76*100</f>
        <v>252.97456857402366</v>
      </c>
      <c r="I76" s="228">
        <f t="shared" si="16"/>
        <v>-6641.41</v>
      </c>
      <c r="J76" s="228">
        <f>F76/D76*100</f>
        <v>62.416331843132824</v>
      </c>
      <c r="K76" s="228">
        <f>F76-4329.67</f>
        <v>6699.92</v>
      </c>
      <c r="L76" s="228">
        <f>F76/4329.67*100</f>
        <v>254.74435696023022</v>
      </c>
      <c r="M76" s="226">
        <f>M72+M73+M74+M75</f>
        <v>1166.5</v>
      </c>
      <c r="N76" s="230">
        <f>N72+N73+N74+N75</f>
        <v>1442.3699999999994</v>
      </c>
      <c r="O76" s="228">
        <f t="shared" si="17"/>
        <v>275.86999999999944</v>
      </c>
      <c r="P76" s="228">
        <f>N76/M76*100</f>
        <v>123.64937848264033</v>
      </c>
      <c r="Q76" s="44"/>
      <c r="R76" s="129"/>
    </row>
    <row r="77" spans="2:18" ht="46.5">
      <c r="B77" s="12" t="s">
        <v>41</v>
      </c>
      <c r="C77" s="80">
        <v>24062100</v>
      </c>
      <c r="D77" s="221">
        <v>1</v>
      </c>
      <c r="E77" s="221">
        <v>0</v>
      </c>
      <c r="F77" s="222">
        <v>4.4</v>
      </c>
      <c r="G77" s="202">
        <f t="shared" si="15"/>
        <v>4.4</v>
      </c>
      <c r="H77" s="204"/>
      <c r="I77" s="207">
        <f t="shared" si="16"/>
        <v>3.4000000000000004</v>
      </c>
      <c r="J77" s="207"/>
      <c r="K77" s="207">
        <f>F77-0</f>
        <v>4.4</v>
      </c>
      <c r="L77" s="207"/>
      <c r="M77" s="204">
        <f>E77-квітень!E73</f>
        <v>0</v>
      </c>
      <c r="N77" s="208">
        <f>F77-квітень!F73</f>
        <v>1.3400000000000003</v>
      </c>
      <c r="O77" s="207">
        <f t="shared" si="17"/>
        <v>1.3400000000000003</v>
      </c>
      <c r="P77" s="207"/>
      <c r="Q77" s="43"/>
      <c r="R77" s="103"/>
    </row>
    <row r="78" spans="2:18" ht="18" hidden="1">
      <c r="B78" s="23" t="s">
        <v>53</v>
      </c>
      <c r="C78" s="78">
        <v>24061600</v>
      </c>
      <c r="D78" s="221">
        <v>0</v>
      </c>
      <c r="E78" s="221">
        <v>0</v>
      </c>
      <c r="F78" s="222">
        <v>0</v>
      </c>
      <c r="G78" s="202">
        <f t="shared" si="15"/>
        <v>0</v>
      </c>
      <c r="H78" s="204"/>
      <c r="I78" s="207">
        <f t="shared" si="16"/>
        <v>0</v>
      </c>
      <c r="J78" s="231"/>
      <c r="K78" s="207">
        <f>F78-0</f>
        <v>0</v>
      </c>
      <c r="L78" s="207">
        <f>F78/19.48*100</f>
        <v>0</v>
      </c>
      <c r="M78" s="204">
        <f>E78-березень!E73</f>
        <v>0</v>
      </c>
      <c r="N78" s="208">
        <f>F78-березень!F73</f>
        <v>0</v>
      </c>
      <c r="O78" s="207">
        <f t="shared" si="17"/>
        <v>0</v>
      </c>
      <c r="P78" s="231"/>
      <c r="Q78" s="46"/>
      <c r="R78" s="105"/>
    </row>
    <row r="79" spans="2:18" ht="18">
      <c r="B79" s="23" t="s">
        <v>47</v>
      </c>
      <c r="C79" s="78">
        <v>19010000</v>
      </c>
      <c r="D79" s="221">
        <v>9500</v>
      </c>
      <c r="E79" s="221">
        <v>5117</v>
      </c>
      <c r="F79" s="222">
        <v>4887.77</v>
      </c>
      <c r="G79" s="202">
        <f t="shared" si="15"/>
        <v>-229.22999999999956</v>
      </c>
      <c r="H79" s="204">
        <f>F79/E79*100</f>
        <v>95.5202266953293</v>
      </c>
      <c r="I79" s="207">
        <f t="shared" si="16"/>
        <v>-4612.23</v>
      </c>
      <c r="J79" s="207">
        <f>F79/D79*100</f>
        <v>51.4502105263158</v>
      </c>
      <c r="K79" s="207">
        <f>F79-0</f>
        <v>4887.77</v>
      </c>
      <c r="L79" s="207"/>
      <c r="M79" s="204">
        <f>E79-квітень!E75</f>
        <v>3096.3</v>
      </c>
      <c r="N79" s="208">
        <f>F79-квітень!F75</f>
        <v>2852.2400000000007</v>
      </c>
      <c r="O79" s="207">
        <f>N79-M79</f>
        <v>-244.0599999999995</v>
      </c>
      <c r="P79" s="231">
        <f>N79/M79*100</f>
        <v>92.11768885443918</v>
      </c>
      <c r="Q79" s="46"/>
      <c r="R79" s="105"/>
    </row>
    <row r="80" spans="2:18" ht="31.5">
      <c r="B80" s="23" t="s">
        <v>51</v>
      </c>
      <c r="C80" s="78">
        <v>19050000</v>
      </c>
      <c r="D80" s="221">
        <v>0</v>
      </c>
      <c r="E80" s="221"/>
      <c r="F80" s="222">
        <v>0.69</v>
      </c>
      <c r="G80" s="202">
        <f t="shared" si="15"/>
        <v>0.69</v>
      </c>
      <c r="H80" s="204"/>
      <c r="I80" s="207">
        <f t="shared" si="16"/>
        <v>0.69</v>
      </c>
      <c r="J80" s="207"/>
      <c r="K80" s="207">
        <f>F80-0.95</f>
        <v>-0.26</v>
      </c>
      <c r="L80" s="207">
        <f>F80/0.95*100</f>
        <v>72.63157894736841</v>
      </c>
      <c r="M80" s="204">
        <f>E80-квітень!E76</f>
        <v>0</v>
      </c>
      <c r="N80" s="208">
        <f>F80-квітень!F76</f>
        <v>0.16999999999999993</v>
      </c>
      <c r="O80" s="207">
        <f t="shared" si="17"/>
        <v>0.16999999999999993</v>
      </c>
      <c r="P80" s="207"/>
      <c r="Q80" s="43"/>
      <c r="R80" s="103"/>
    </row>
    <row r="81" spans="2:18" ht="30">
      <c r="B81" s="29" t="s">
        <v>48</v>
      </c>
      <c r="C81" s="78"/>
      <c r="D81" s="224">
        <f>D77+D80+D78+D79</f>
        <v>9501</v>
      </c>
      <c r="E81" s="224">
        <f>E77+E80+E78+E79</f>
        <v>5117</v>
      </c>
      <c r="F81" s="225">
        <f>F77+F80+F78+F79</f>
        <v>4892.860000000001</v>
      </c>
      <c r="G81" s="224">
        <f>G77+G80+G78+G79</f>
        <v>-224.13999999999956</v>
      </c>
      <c r="H81" s="227">
        <f>F81/E81*100</f>
        <v>95.61969904240767</v>
      </c>
      <c r="I81" s="228">
        <f t="shared" si="16"/>
        <v>-4608.139999999999</v>
      </c>
      <c r="J81" s="228">
        <f>F81/D81*100</f>
        <v>51.498368592779705</v>
      </c>
      <c r="K81" s="228">
        <f>F81-0.95</f>
        <v>4891.910000000001</v>
      </c>
      <c r="L81" s="228">
        <f>F81/0.95*100</f>
        <v>515037.8947368422</v>
      </c>
      <c r="M81" s="226">
        <f>M77+M80+M78+M79</f>
        <v>3096.3</v>
      </c>
      <c r="N81" s="230">
        <f>N77+N80+N78+N79</f>
        <v>2853.750000000001</v>
      </c>
      <c r="O81" s="226">
        <f>O77+O80+O78+O79</f>
        <v>-242.5499999999995</v>
      </c>
      <c r="P81" s="228">
        <f>N81/M81*100</f>
        <v>92.16645673868814</v>
      </c>
      <c r="Q81" s="44"/>
      <c r="R81" s="102"/>
    </row>
    <row r="82" spans="2:18" ht="30.75">
      <c r="B82" s="12" t="s">
        <v>42</v>
      </c>
      <c r="C82" s="48">
        <v>24110900</v>
      </c>
      <c r="D82" s="221">
        <v>43</v>
      </c>
      <c r="E82" s="221">
        <v>13.8</v>
      </c>
      <c r="F82" s="222">
        <v>9.19</v>
      </c>
      <c r="G82" s="202">
        <f t="shared" si="15"/>
        <v>-4.610000000000001</v>
      </c>
      <c r="H82" s="204">
        <f>F82/E82*100</f>
        <v>66.59420289855072</v>
      </c>
      <c r="I82" s="207">
        <f t="shared" si="16"/>
        <v>-33.81</v>
      </c>
      <c r="J82" s="207">
        <f>F82/D82*100</f>
        <v>21.37209302325581</v>
      </c>
      <c r="K82" s="207">
        <f>F82-14.05</f>
        <v>-4.860000000000001</v>
      </c>
      <c r="L82" s="207">
        <f>F82/14.05*100</f>
        <v>65.40925266903915</v>
      </c>
      <c r="M82" s="204">
        <f>E82-квітень!E78</f>
        <v>0.6600000000000001</v>
      </c>
      <c r="N82" s="208">
        <f>F82-квітень!F78</f>
        <v>0</v>
      </c>
      <c r="O82" s="207">
        <f t="shared" si="17"/>
        <v>-0.6600000000000001</v>
      </c>
      <c r="P82" s="207">
        <f>N82/M82</f>
        <v>0</v>
      </c>
      <c r="Q82" s="43"/>
      <c r="R82" s="103"/>
    </row>
    <row r="83" spans="2:18" ht="18" hidden="1">
      <c r="B83" s="137"/>
      <c r="C83" s="48"/>
      <c r="D83" s="221"/>
      <c r="E83" s="221"/>
      <c r="F83" s="222"/>
      <c r="G83" s="202"/>
      <c r="H83" s="204"/>
      <c r="I83" s="207"/>
      <c r="J83" s="207"/>
      <c r="K83" s="207">
        <f>F83-0</f>
        <v>0</v>
      </c>
      <c r="L83" s="207"/>
      <c r="M83" s="204">
        <f>E83-лютий!E78</f>
        <v>0</v>
      </c>
      <c r="N83" s="208">
        <f>F83-лютий!F78</f>
        <v>0</v>
      </c>
      <c r="O83" s="207">
        <f t="shared" si="17"/>
        <v>0</v>
      </c>
      <c r="P83" s="207"/>
      <c r="Q83" s="43"/>
      <c r="R83" s="103"/>
    </row>
    <row r="84" spans="2:18" ht="23.25" customHeight="1">
      <c r="B84" s="14" t="s">
        <v>32</v>
      </c>
      <c r="C84" s="71"/>
      <c r="D84" s="232">
        <f>D70+D82+D76+D81</f>
        <v>27215</v>
      </c>
      <c r="E84" s="232">
        <f>E70+E82+E76+E81</f>
        <v>9490.759999999998</v>
      </c>
      <c r="F84" s="232">
        <f>F70+F82+F76+F81+F83</f>
        <v>15931.380000000001</v>
      </c>
      <c r="G84" s="233">
        <f>F84-E84</f>
        <v>6440.620000000003</v>
      </c>
      <c r="H84" s="234">
        <f>F84/E84*100</f>
        <v>167.86200472880998</v>
      </c>
      <c r="I84" s="235">
        <f>F84-D84</f>
        <v>-11283.619999999999</v>
      </c>
      <c r="J84" s="235">
        <f>F84/D84*100</f>
        <v>58.53896748116848</v>
      </c>
      <c r="K84" s="235">
        <f>F84-4325.48</f>
        <v>11605.900000000001</v>
      </c>
      <c r="L84" s="235">
        <f>F84/4325.48*100</f>
        <v>368.31473038830376</v>
      </c>
      <c r="M84" s="232">
        <f>M70+M82+M76+M81</f>
        <v>4263.46</v>
      </c>
      <c r="N84" s="232">
        <f>N70+N82+N76+N81+N83</f>
        <v>4291.63</v>
      </c>
      <c r="O84" s="235">
        <f t="shared" si="17"/>
        <v>28.170000000000073</v>
      </c>
      <c r="P84" s="235">
        <f>N84/M84*100</f>
        <v>100.66073095560884</v>
      </c>
      <c r="Q84" s="28">
        <f>N84-8104.96</f>
        <v>-3813.33</v>
      </c>
      <c r="R84" s="101">
        <f>N84/8104.96</f>
        <v>0.5295066231048642</v>
      </c>
    </row>
    <row r="85" spans="2:18" ht="17.25">
      <c r="B85" s="21" t="s">
        <v>33</v>
      </c>
      <c r="C85" s="71"/>
      <c r="D85" s="232">
        <f>D63+D84</f>
        <v>911115.6</v>
      </c>
      <c r="E85" s="232">
        <f>E63+E84</f>
        <v>379744.17000000004</v>
      </c>
      <c r="F85" s="232">
        <f>F63+F84</f>
        <v>413780.67</v>
      </c>
      <c r="G85" s="233">
        <f>F85-E85</f>
        <v>34036.49999999994</v>
      </c>
      <c r="H85" s="234">
        <f>F85/E85*100</f>
        <v>108.96300791135252</v>
      </c>
      <c r="I85" s="235">
        <f>F85-D85</f>
        <v>-497334.93</v>
      </c>
      <c r="J85" s="235">
        <f>F85/D85*100</f>
        <v>45.414727834755546</v>
      </c>
      <c r="K85" s="235">
        <f>F85-265734.15-4325.48</f>
        <v>143721.03999999995</v>
      </c>
      <c r="L85" s="235">
        <f>F85/(265734.15+4325.48)*100</f>
        <v>153.2182614632183</v>
      </c>
      <c r="M85" s="233">
        <f>M63+M84</f>
        <v>88588.56000000003</v>
      </c>
      <c r="N85" s="233">
        <f>N63+N84</f>
        <v>91235.776</v>
      </c>
      <c r="O85" s="235">
        <f t="shared" si="17"/>
        <v>2647.2159999999712</v>
      </c>
      <c r="P85" s="235">
        <f>N85/M85*100</f>
        <v>102.9882142795864</v>
      </c>
      <c r="Q85" s="28">
        <f>N85-42872.96</f>
        <v>48362.816</v>
      </c>
      <c r="R85" s="101">
        <f>N85/42872.96</f>
        <v>2.1280493812416963</v>
      </c>
    </row>
    <row r="86" spans="2:14" ht="15">
      <c r="B86" s="20" t="s">
        <v>35</v>
      </c>
      <c r="N86" s="26"/>
    </row>
    <row r="87" spans="2:14" ht="15">
      <c r="B87" s="4" t="s">
        <v>37</v>
      </c>
      <c r="C87" s="81">
        <v>0</v>
      </c>
      <c r="D87" s="4" t="s">
        <v>36</v>
      </c>
      <c r="N87" s="83"/>
    </row>
    <row r="88" spans="2:17" ht="30.75">
      <c r="B88" s="57" t="s">
        <v>54</v>
      </c>
      <c r="C88" s="31">
        <f>IF(O63&lt;0,ABS(O63/C87),0)</f>
        <v>0</v>
      </c>
      <c r="D88" s="4" t="s">
        <v>24</v>
      </c>
      <c r="G88" s="294"/>
      <c r="H88" s="294"/>
      <c r="I88" s="294"/>
      <c r="J88" s="294"/>
      <c r="K88" s="90"/>
      <c r="L88" s="90"/>
      <c r="P88" s="26"/>
      <c r="Q88" s="26"/>
    </row>
    <row r="89" spans="2:15" ht="34.5" customHeight="1">
      <c r="B89" s="58" t="s">
        <v>56</v>
      </c>
      <c r="C89" s="87">
        <v>42521</v>
      </c>
      <c r="D89" s="31">
        <v>5773.8</v>
      </c>
      <c r="G89" s="4" t="s">
        <v>59</v>
      </c>
      <c r="N89" s="286"/>
      <c r="O89" s="286"/>
    </row>
    <row r="90" spans="3:15" ht="15">
      <c r="C90" s="87">
        <v>42520</v>
      </c>
      <c r="D90" s="31">
        <v>8891</v>
      </c>
      <c r="F90" s="124" t="s">
        <v>59</v>
      </c>
      <c r="G90" s="280"/>
      <c r="H90" s="280"/>
      <c r="I90" s="131"/>
      <c r="J90" s="283"/>
      <c r="K90" s="283"/>
      <c r="L90" s="283"/>
      <c r="M90" s="283"/>
      <c r="N90" s="286"/>
      <c r="O90" s="286"/>
    </row>
    <row r="91" spans="3:15" ht="15.75" customHeight="1">
      <c r="C91" s="87">
        <v>42517</v>
      </c>
      <c r="D91" s="31">
        <v>7356.3</v>
      </c>
      <c r="F91" s="73"/>
      <c r="G91" s="280"/>
      <c r="H91" s="280"/>
      <c r="I91" s="131"/>
      <c r="J91" s="287"/>
      <c r="K91" s="287"/>
      <c r="L91" s="287"/>
      <c r="M91" s="287"/>
      <c r="N91" s="286"/>
      <c r="O91" s="286"/>
    </row>
    <row r="92" spans="3:13" ht="15.75" customHeight="1">
      <c r="C92" s="87"/>
      <c r="F92" s="73"/>
      <c r="G92" s="282"/>
      <c r="H92" s="282"/>
      <c r="I92" s="139"/>
      <c r="J92" s="283"/>
      <c r="K92" s="283"/>
      <c r="L92" s="283"/>
      <c r="M92" s="283"/>
    </row>
    <row r="93" spans="2:13" ht="18.75" customHeight="1">
      <c r="B93" s="284" t="s">
        <v>57</v>
      </c>
      <c r="C93" s="285"/>
      <c r="D93" s="148">
        <v>2811.04042</v>
      </c>
      <c r="E93" s="74"/>
      <c r="F93" s="140" t="s">
        <v>137</v>
      </c>
      <c r="G93" s="280"/>
      <c r="H93" s="280"/>
      <c r="I93" s="141"/>
      <c r="J93" s="283"/>
      <c r="K93" s="283"/>
      <c r="L93" s="283"/>
      <c r="M93" s="283"/>
    </row>
    <row r="94" spans="6:12" ht="9.75" customHeight="1">
      <c r="F94" s="73"/>
      <c r="G94" s="280"/>
      <c r="H94" s="280"/>
      <c r="I94" s="73"/>
      <c r="J94" s="74"/>
      <c r="K94" s="74"/>
      <c r="L94" s="74"/>
    </row>
    <row r="95" spans="2:12" ht="22.5" customHeight="1">
      <c r="B95" s="278" t="s">
        <v>60</v>
      </c>
      <c r="C95" s="279"/>
      <c r="D95" s="86">
        <v>0</v>
      </c>
      <c r="E95" s="56" t="s">
        <v>24</v>
      </c>
      <c r="F95" s="73"/>
      <c r="G95" s="280"/>
      <c r="H95" s="280"/>
      <c r="I95" s="73"/>
      <c r="J95" s="74"/>
      <c r="K95" s="74"/>
      <c r="L95" s="74"/>
    </row>
    <row r="96" spans="4:15" ht="15">
      <c r="D96" s="73">
        <f>D44+D47+D48</f>
        <v>1640</v>
      </c>
      <c r="E96" s="73">
        <f>E44+E47+E48</f>
        <v>568</v>
      </c>
      <c r="F96" s="247">
        <f>F44+F47+F48</f>
        <v>117.97999999999999</v>
      </c>
      <c r="G96" s="73">
        <f aca="true" t="shared" si="18" ref="G96:O96">G44+G47+G48</f>
        <v>-450.02</v>
      </c>
      <c r="H96" s="73"/>
      <c r="I96" s="73"/>
      <c r="J96" s="73"/>
      <c r="K96" s="73"/>
      <c r="L96" s="73"/>
      <c r="M96" s="73">
        <f t="shared" si="18"/>
        <v>142</v>
      </c>
      <c r="N96" s="247">
        <f t="shared" si="18"/>
        <v>116.61</v>
      </c>
      <c r="O96" s="73">
        <f t="shared" si="18"/>
        <v>-25.39</v>
      </c>
    </row>
    <row r="97" spans="4:15" ht="15">
      <c r="D97" s="83"/>
      <c r="I97" s="31"/>
      <c r="N97" s="281"/>
      <c r="O97" s="281"/>
    </row>
    <row r="98" spans="14:15" ht="15">
      <c r="N98" s="280"/>
      <c r="O98" s="280"/>
    </row>
    <row r="102" ht="15">
      <c r="E102" s="4" t="s">
        <v>59</v>
      </c>
    </row>
  </sheetData>
  <sheetProtection/>
  <mergeCells count="38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F4:F5"/>
    <mergeCell ref="G4:G5"/>
    <mergeCell ref="H4:H5"/>
    <mergeCell ref="I4:I5"/>
    <mergeCell ref="J4:J5"/>
    <mergeCell ref="N4:N5"/>
    <mergeCell ref="O4:O5"/>
    <mergeCell ref="P4:P5"/>
    <mergeCell ref="K5:L5"/>
    <mergeCell ref="Q5:R5"/>
    <mergeCell ref="G88:J88"/>
    <mergeCell ref="N89:O89"/>
    <mergeCell ref="G90:H90"/>
    <mergeCell ref="J90:M90"/>
    <mergeCell ref="N90:O90"/>
    <mergeCell ref="G91:H91"/>
    <mergeCell ref="J91:M91"/>
    <mergeCell ref="N91:O91"/>
    <mergeCell ref="B95:C95"/>
    <mergeCell ref="G95:H95"/>
    <mergeCell ref="N97:O97"/>
    <mergeCell ref="N98:O98"/>
    <mergeCell ref="G92:H92"/>
    <mergeCell ref="J92:M92"/>
    <mergeCell ref="B93:C93"/>
    <mergeCell ref="G93:H93"/>
    <mergeCell ref="J93:M93"/>
    <mergeCell ref="G94:H94"/>
  </mergeCells>
  <printOptions/>
  <pageMargins left="0" right="0" top="0" bottom="0" header="0" footer="0"/>
  <pageSetup fitToHeight="2" fitToWidth="1" orientation="portrait" paperSize="9" scale="4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98"/>
  <sheetViews>
    <sheetView zoomScale="88" zoomScaleNormal="88" zoomScalePageLayoutView="0" workbookViewId="0" topLeftCell="B1">
      <pane xSplit="2" ySplit="8" topLeftCell="F21" activePane="bottomRight" state="frozen"/>
      <selection pane="topLeft" activeCell="B1" sqref="B1"/>
      <selection pane="topRight" activeCell="D1" sqref="D1"/>
      <selection pane="bottomLeft" activeCell="B9" sqref="B9"/>
      <selection pane="bottomRight" activeCell="N27" sqref="N27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3.1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95" hidden="1" customWidth="1"/>
    <col min="19" max="19" width="9.125" style="4" customWidth="1"/>
    <col min="20" max="20" width="11.50390625" style="4" customWidth="1"/>
    <col min="21" max="16384" width="9.125" style="4" customWidth="1"/>
  </cols>
  <sheetData>
    <row r="1" spans="1:18" s="1" customFormat="1" ht="26.25" customHeight="1">
      <c r="A1" s="301" t="s">
        <v>156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301"/>
      <c r="O1" s="301"/>
      <c r="P1" s="301"/>
      <c r="Q1" s="92"/>
      <c r="R1" s="93"/>
    </row>
    <row r="2" spans="2:18" s="1" customFormat="1" ht="15.75" customHeight="1">
      <c r="B2" s="319"/>
      <c r="C2" s="319"/>
      <c r="D2" s="319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303"/>
      <c r="B3" s="305"/>
      <c r="C3" s="306" t="s">
        <v>0</v>
      </c>
      <c r="D3" s="307" t="s">
        <v>121</v>
      </c>
      <c r="E3" s="34"/>
      <c r="F3" s="308" t="s">
        <v>26</v>
      </c>
      <c r="G3" s="309"/>
      <c r="H3" s="309"/>
      <c r="I3" s="309"/>
      <c r="J3" s="310"/>
      <c r="K3" s="89"/>
      <c r="L3" s="89"/>
      <c r="M3" s="311" t="s">
        <v>153</v>
      </c>
      <c r="N3" s="312" t="s">
        <v>154</v>
      </c>
      <c r="O3" s="312"/>
      <c r="P3" s="312"/>
      <c r="Q3" s="312"/>
      <c r="R3" s="312"/>
    </row>
    <row r="4" spans="1:18" ht="22.5" customHeight="1">
      <c r="A4" s="303"/>
      <c r="B4" s="305"/>
      <c r="C4" s="306"/>
      <c r="D4" s="307"/>
      <c r="E4" s="313" t="s">
        <v>150</v>
      </c>
      <c r="F4" s="317" t="s">
        <v>34</v>
      </c>
      <c r="G4" s="288" t="s">
        <v>151</v>
      </c>
      <c r="H4" s="297" t="s">
        <v>152</v>
      </c>
      <c r="I4" s="288" t="s">
        <v>122</v>
      </c>
      <c r="J4" s="297" t="s">
        <v>123</v>
      </c>
      <c r="K4" s="91" t="s">
        <v>65</v>
      </c>
      <c r="L4" s="96" t="s">
        <v>64</v>
      </c>
      <c r="M4" s="297"/>
      <c r="N4" s="299" t="s">
        <v>157</v>
      </c>
      <c r="O4" s="288" t="s">
        <v>50</v>
      </c>
      <c r="P4" s="290" t="s">
        <v>49</v>
      </c>
      <c r="Q4" s="97" t="s">
        <v>65</v>
      </c>
      <c r="R4" s="98" t="s">
        <v>64</v>
      </c>
    </row>
    <row r="5" spans="1:18" ht="78.75" customHeight="1">
      <c r="A5" s="304"/>
      <c r="B5" s="305"/>
      <c r="C5" s="306"/>
      <c r="D5" s="307"/>
      <c r="E5" s="314"/>
      <c r="F5" s="318"/>
      <c r="G5" s="289"/>
      <c r="H5" s="298"/>
      <c r="I5" s="289"/>
      <c r="J5" s="298"/>
      <c r="K5" s="291" t="s">
        <v>155</v>
      </c>
      <c r="L5" s="293"/>
      <c r="M5" s="298"/>
      <c r="N5" s="300"/>
      <c r="O5" s="289"/>
      <c r="P5" s="290"/>
      <c r="Q5" s="291" t="s">
        <v>120</v>
      </c>
      <c r="R5" s="293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77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77"/>
      <c r="O7" s="10"/>
      <c r="P7" s="10"/>
      <c r="Q7" s="10"/>
      <c r="R7" s="99"/>
    </row>
    <row r="8" spans="1:18" s="6" customFormat="1" ht="17.25">
      <c r="A8" s="7"/>
      <c r="B8" s="194" t="s">
        <v>9</v>
      </c>
      <c r="C8" s="75" t="s">
        <v>10</v>
      </c>
      <c r="D8" s="191">
        <f>D9+D15+D18+D19+D20+D32+D17</f>
        <v>841050</v>
      </c>
      <c r="E8" s="191">
        <f>E9+E15+E18+E19+E20+E32+E17</f>
        <v>271674.68</v>
      </c>
      <c r="F8" s="191">
        <f>F9+F15+F18+F19+F20+F32+F17</f>
        <v>294130.62999999995</v>
      </c>
      <c r="G8" s="191">
        <f aca="true" t="shared" si="0" ref="G8:G21">F8-E8</f>
        <v>22455.949999999953</v>
      </c>
      <c r="H8" s="192">
        <f>F8/E8*100</f>
        <v>108.26575005075922</v>
      </c>
      <c r="I8" s="193">
        <f>F8-D8</f>
        <v>-546919.3700000001</v>
      </c>
      <c r="J8" s="193">
        <f>F8/D8*100</f>
        <v>34.97183639498246</v>
      </c>
      <c r="K8" s="191">
        <f>F8-198537.14</f>
        <v>95593.48999999993</v>
      </c>
      <c r="L8" s="191">
        <f>F8/198537.14*100</f>
        <v>148.14892065031256</v>
      </c>
      <c r="M8" s="191">
        <f>M9+M15+M18+M19+M20+M32+M17</f>
        <v>71360.49999999999</v>
      </c>
      <c r="N8" s="191">
        <f>N9+N15+N18+N19+N20+N32+N17</f>
        <v>84342.91999999997</v>
      </c>
      <c r="O8" s="191">
        <f>N8-M8</f>
        <v>12982.419999999984</v>
      </c>
      <c r="P8" s="191">
        <f>N8/M8*100</f>
        <v>118.19272566756116</v>
      </c>
      <c r="Q8" s="15" t="e">
        <f>#N/A</f>
        <v>#N/A</v>
      </c>
      <c r="R8" s="15" t="e">
        <f>#N/A</f>
        <v>#N/A</v>
      </c>
    </row>
    <row r="9" spans="1:18" s="6" customFormat="1" ht="18">
      <c r="A9" s="8"/>
      <c r="B9" s="13" t="s">
        <v>82</v>
      </c>
      <c r="C9" s="48">
        <v>11010000</v>
      </c>
      <c r="D9" s="190">
        <v>459700</v>
      </c>
      <c r="E9" s="190">
        <v>145783.27</v>
      </c>
      <c r="F9" s="196">
        <v>158037.8</v>
      </c>
      <c r="G9" s="190">
        <f t="shared" si="0"/>
        <v>12254.529999999999</v>
      </c>
      <c r="H9" s="197">
        <f>F9/E9*100</f>
        <v>108.40599199071335</v>
      </c>
      <c r="I9" s="198">
        <f>F9-D9</f>
        <v>-301662.2</v>
      </c>
      <c r="J9" s="198">
        <f>F9/D9*100</f>
        <v>34.3784642157929</v>
      </c>
      <c r="K9" s="199">
        <f>F9-110765.65</f>
        <v>47272.149999999994</v>
      </c>
      <c r="L9" s="199">
        <f>F9/110765.65*100</f>
        <v>142.67762614131726</v>
      </c>
      <c r="M9" s="197">
        <f>E9-березень!E9</f>
        <v>39799.999999999985</v>
      </c>
      <c r="N9" s="200">
        <f>F9-березень!F9</f>
        <v>45755.97999999998</v>
      </c>
      <c r="O9" s="201">
        <f>N9-M9</f>
        <v>5955.979999999996</v>
      </c>
      <c r="P9" s="198">
        <f>N9/M9*100</f>
        <v>114.96477386934674</v>
      </c>
      <c r="Q9" s="106"/>
      <c r="R9" s="107"/>
    </row>
    <row r="10" spans="1:18" s="6" customFormat="1" ht="15" hidden="1">
      <c r="A10" s="8"/>
      <c r="B10" s="136" t="s">
        <v>93</v>
      </c>
      <c r="C10" s="108">
        <v>11010100</v>
      </c>
      <c r="D10" s="109">
        <v>411440</v>
      </c>
      <c r="E10" s="109">
        <v>130916.84</v>
      </c>
      <c r="F10" s="171">
        <v>137815.99</v>
      </c>
      <c r="G10" s="109">
        <f t="shared" si="0"/>
        <v>6899.149999999994</v>
      </c>
      <c r="H10" s="32">
        <f aca="true" t="shared" si="1" ref="H10:H31">F10/E10*100</f>
        <v>105.26987208062766</v>
      </c>
      <c r="I10" s="110">
        <f aca="true" t="shared" si="2" ref="I10:I32">F10-D10</f>
        <v>-273624.01</v>
      </c>
      <c r="J10" s="110">
        <f aca="true" t="shared" si="3" ref="J10:J31">F10/D10*100</f>
        <v>33.49601156912308</v>
      </c>
      <c r="K10" s="112">
        <f>F10-98351.31</f>
        <v>39464.67999999999</v>
      </c>
      <c r="L10" s="112">
        <f>F10/98351.31*100</f>
        <v>140.12623726110002</v>
      </c>
      <c r="M10" s="111">
        <f>E10-березень!E10</f>
        <v>36300</v>
      </c>
      <c r="N10" s="179">
        <f>F10-березень!F10</f>
        <v>39351.609999999986</v>
      </c>
      <c r="O10" s="112">
        <f aca="true" t="shared" si="4" ref="O10:O32">N10-M10</f>
        <v>3051.609999999986</v>
      </c>
      <c r="P10" s="42">
        <f aca="true" t="shared" si="5" ref="P10:P25">N10/M10*100</f>
        <v>108.40663911845726</v>
      </c>
      <c r="Q10" s="42"/>
      <c r="R10" s="100"/>
    </row>
    <row r="11" spans="1:18" s="6" customFormat="1" ht="15" hidden="1">
      <c r="A11" s="8"/>
      <c r="B11" s="136" t="s">
        <v>89</v>
      </c>
      <c r="C11" s="108">
        <v>11010200</v>
      </c>
      <c r="D11" s="109">
        <v>23000</v>
      </c>
      <c r="E11" s="109">
        <v>8634.94</v>
      </c>
      <c r="F11" s="171">
        <v>11487.54</v>
      </c>
      <c r="G11" s="109">
        <f t="shared" si="0"/>
        <v>2852.6000000000004</v>
      </c>
      <c r="H11" s="32">
        <f t="shared" si="1"/>
        <v>133.03555091291892</v>
      </c>
      <c r="I11" s="110">
        <f t="shared" si="2"/>
        <v>-11512.46</v>
      </c>
      <c r="J11" s="110">
        <f t="shared" si="3"/>
        <v>49.94582608695652</v>
      </c>
      <c r="K11" s="112">
        <f>F11-6301.46</f>
        <v>5186.080000000001</v>
      </c>
      <c r="L11" s="112">
        <f>F11/6301.46*100</f>
        <v>182.2996575396813</v>
      </c>
      <c r="M11" s="111">
        <f>E11-березень!E11</f>
        <v>1550.000000000001</v>
      </c>
      <c r="N11" s="179">
        <f>F11-березень!F11</f>
        <v>3410.430000000001</v>
      </c>
      <c r="O11" s="112">
        <f t="shared" si="4"/>
        <v>1860.4300000000003</v>
      </c>
      <c r="P11" s="42">
        <f t="shared" si="5"/>
        <v>220.02774193548382</v>
      </c>
      <c r="Q11" s="42"/>
      <c r="R11" s="100"/>
    </row>
    <row r="12" spans="1:18" s="6" customFormat="1" ht="15" hidden="1">
      <c r="A12" s="8"/>
      <c r="B12" s="136" t="s">
        <v>92</v>
      </c>
      <c r="C12" s="108">
        <v>11010400</v>
      </c>
      <c r="D12" s="109">
        <v>6500</v>
      </c>
      <c r="E12" s="109">
        <v>1690.61</v>
      </c>
      <c r="F12" s="171">
        <v>4096.43</v>
      </c>
      <c r="G12" s="109">
        <f t="shared" si="0"/>
        <v>2405.8200000000006</v>
      </c>
      <c r="H12" s="32">
        <f t="shared" si="1"/>
        <v>242.30484854579117</v>
      </c>
      <c r="I12" s="110">
        <f t="shared" si="2"/>
        <v>-2403.5699999999997</v>
      </c>
      <c r="J12" s="110">
        <f t="shared" si="3"/>
        <v>63.022</v>
      </c>
      <c r="K12" s="112">
        <f>F12-1718.24</f>
        <v>2378.1900000000005</v>
      </c>
      <c r="L12" s="112">
        <f>F12/1718.24*100</f>
        <v>238.40848775491202</v>
      </c>
      <c r="M12" s="111">
        <f>E12-березень!E12</f>
        <v>585</v>
      </c>
      <c r="N12" s="179">
        <f>F12-березень!F12</f>
        <v>1716.9600000000005</v>
      </c>
      <c r="O12" s="112">
        <f t="shared" si="4"/>
        <v>1131.9600000000005</v>
      </c>
      <c r="P12" s="42">
        <f t="shared" si="5"/>
        <v>293.497435897436</v>
      </c>
      <c r="Q12" s="42"/>
      <c r="R12" s="100"/>
    </row>
    <row r="13" spans="1:18" s="6" customFormat="1" ht="15" hidden="1">
      <c r="A13" s="8"/>
      <c r="B13" s="136" t="s">
        <v>90</v>
      </c>
      <c r="C13" s="108">
        <v>11010500</v>
      </c>
      <c r="D13" s="109">
        <v>12400</v>
      </c>
      <c r="E13" s="109">
        <v>2664.84</v>
      </c>
      <c r="F13" s="171">
        <v>3211.48</v>
      </c>
      <c r="G13" s="109">
        <f t="shared" si="0"/>
        <v>546.6399999999999</v>
      </c>
      <c r="H13" s="32">
        <f t="shared" si="1"/>
        <v>120.51305144023657</v>
      </c>
      <c r="I13" s="110">
        <f t="shared" si="2"/>
        <v>-9188.52</v>
      </c>
      <c r="J13" s="110">
        <f t="shared" si="3"/>
        <v>25.899032258064516</v>
      </c>
      <c r="K13" s="112">
        <f>F13-1662.77</f>
        <v>1548.71</v>
      </c>
      <c r="L13" s="112">
        <f>F13/1662.77*100</f>
        <v>193.14036216674586</v>
      </c>
      <c r="M13" s="111">
        <f>E13-березень!E13</f>
        <v>755.0000000000002</v>
      </c>
      <c r="N13" s="179">
        <f>F13-березень!F13</f>
        <v>786.54</v>
      </c>
      <c r="O13" s="112">
        <f t="shared" si="4"/>
        <v>31.539999999999736</v>
      </c>
      <c r="P13" s="42">
        <f t="shared" si="5"/>
        <v>104.17748344370857</v>
      </c>
      <c r="Q13" s="42"/>
      <c r="R13" s="100"/>
    </row>
    <row r="14" spans="1:18" s="6" customFormat="1" ht="15" hidden="1">
      <c r="A14" s="8"/>
      <c r="B14" s="136" t="s">
        <v>91</v>
      </c>
      <c r="C14" s="108">
        <v>11010900</v>
      </c>
      <c r="D14" s="109">
        <v>6360</v>
      </c>
      <c r="E14" s="109">
        <v>1876.04</v>
      </c>
      <c r="F14" s="171">
        <v>1426.36</v>
      </c>
      <c r="G14" s="109">
        <f t="shared" si="0"/>
        <v>-449.68000000000006</v>
      </c>
      <c r="H14" s="32">
        <f t="shared" si="1"/>
        <v>76.03036182597386</v>
      </c>
      <c r="I14" s="110">
        <f t="shared" si="2"/>
        <v>-4933.64</v>
      </c>
      <c r="J14" s="110">
        <f t="shared" si="3"/>
        <v>22.42704402515723</v>
      </c>
      <c r="K14" s="112">
        <f>F14-2731.87</f>
        <v>-1305.51</v>
      </c>
      <c r="L14" s="112">
        <f>F14/2731.87*100</f>
        <v>52.21185488328507</v>
      </c>
      <c r="M14" s="111">
        <f>E14-березень!E14</f>
        <v>610</v>
      </c>
      <c r="N14" s="179">
        <f>F14-березень!F14</f>
        <v>490.43999999999994</v>
      </c>
      <c r="O14" s="112">
        <f t="shared" si="4"/>
        <v>-119.56000000000006</v>
      </c>
      <c r="P14" s="42">
        <f t="shared" si="5"/>
        <v>80.39999999999999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190">
        <v>500</v>
      </c>
      <c r="E15" s="190">
        <v>120</v>
      </c>
      <c r="F15" s="196">
        <v>185.84</v>
      </c>
      <c r="G15" s="190">
        <f t="shared" si="0"/>
        <v>65.84</v>
      </c>
      <c r="H15" s="197">
        <f>F15/E15*100</f>
        <v>154.86666666666667</v>
      </c>
      <c r="I15" s="198">
        <f t="shared" si="2"/>
        <v>-314.15999999999997</v>
      </c>
      <c r="J15" s="198">
        <f t="shared" si="3"/>
        <v>37.168</v>
      </c>
      <c r="K15" s="201">
        <f>F15-(-910.25)</f>
        <v>1096.09</v>
      </c>
      <c r="L15" s="201">
        <f>F15/(-910.25)*100</f>
        <v>-20.416369129360064</v>
      </c>
      <c r="M15" s="197">
        <f>E15-березень!E15</f>
        <v>10</v>
      </c>
      <c r="N15" s="200">
        <f>F15-березень!F15</f>
        <v>0.7800000000000011</v>
      </c>
      <c r="O15" s="201">
        <f t="shared" si="4"/>
        <v>-9.219999999999999</v>
      </c>
      <c r="P15" s="198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32">
        <f>E16-березень!E16</f>
        <v>0</v>
      </c>
      <c r="N16" s="178">
        <f>F16-березень!F16</f>
        <v>0</v>
      </c>
      <c r="O16" s="40">
        <f t="shared" si="4"/>
        <v>0</v>
      </c>
      <c r="P16" s="42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202">
        <v>0</v>
      </c>
      <c r="E17" s="202">
        <v>0</v>
      </c>
      <c r="F17" s="203">
        <v>0.05</v>
      </c>
      <c r="G17" s="202">
        <f t="shared" si="0"/>
        <v>0.05</v>
      </c>
      <c r="H17" s="204"/>
      <c r="I17" s="205">
        <f t="shared" si="2"/>
        <v>0.05</v>
      </c>
      <c r="J17" s="205"/>
      <c r="K17" s="206">
        <f>F17-0.09</f>
        <v>-0.039999999999999994</v>
      </c>
      <c r="L17" s="207">
        <f>F17/0.09*100</f>
        <v>55.55555555555556</v>
      </c>
      <c r="M17" s="204">
        <f>E17-березень!E17</f>
        <v>0</v>
      </c>
      <c r="N17" s="208">
        <f>F17-березень!F17</f>
        <v>0</v>
      </c>
      <c r="O17" s="207">
        <f t="shared" si="4"/>
        <v>0</v>
      </c>
      <c r="P17" s="205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190">
        <v>10</v>
      </c>
      <c r="E18" s="190">
        <v>10</v>
      </c>
      <c r="F18" s="196">
        <v>105.8</v>
      </c>
      <c r="G18" s="190">
        <f t="shared" si="0"/>
        <v>95.8</v>
      </c>
      <c r="H18" s="197">
        <f t="shared" si="1"/>
        <v>1058</v>
      </c>
      <c r="I18" s="198">
        <f t="shared" si="2"/>
        <v>95.8</v>
      </c>
      <c r="J18" s="198">
        <f t="shared" si="3"/>
        <v>1058</v>
      </c>
      <c r="K18" s="201">
        <f>F18-15.8</f>
        <v>90</v>
      </c>
      <c r="L18" s="201">
        <f>F18/15.8*100</f>
        <v>669.6202531645569</v>
      </c>
      <c r="M18" s="197">
        <f>E18-березень!E18</f>
        <v>0</v>
      </c>
      <c r="N18" s="200">
        <f>F18-березень!F18</f>
        <v>0</v>
      </c>
      <c r="O18" s="201">
        <f t="shared" si="4"/>
        <v>0</v>
      </c>
      <c r="P18" s="198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190">
        <v>109900</v>
      </c>
      <c r="E19" s="190">
        <v>28560.4</v>
      </c>
      <c r="F19" s="196">
        <v>26018.63</v>
      </c>
      <c r="G19" s="190">
        <f t="shared" si="0"/>
        <v>-2541.7700000000004</v>
      </c>
      <c r="H19" s="197">
        <f t="shared" si="1"/>
        <v>91.10036974272069</v>
      </c>
      <c r="I19" s="198">
        <f t="shared" si="2"/>
        <v>-83881.37</v>
      </c>
      <c r="J19" s="198">
        <f t="shared" si="3"/>
        <v>23.674822565969063</v>
      </c>
      <c r="K19" s="209">
        <f>F19-16357.62</f>
        <v>9661.01</v>
      </c>
      <c r="L19" s="209">
        <f>F19/16357.62*100</f>
        <v>159.06122039758841</v>
      </c>
      <c r="M19" s="197">
        <f>E19-березень!E19</f>
        <v>8500</v>
      </c>
      <c r="N19" s="200">
        <f>F19-березень!F19</f>
        <v>7747.740000000002</v>
      </c>
      <c r="O19" s="201">
        <f t="shared" si="4"/>
        <v>-752.2599999999984</v>
      </c>
      <c r="P19" s="198">
        <f t="shared" si="5"/>
        <v>91.14988235294119</v>
      </c>
      <c r="Q19" s="113"/>
      <c r="R19" s="114"/>
    </row>
    <row r="20" spans="1:18" s="6" customFormat="1" ht="18">
      <c r="A20" s="8"/>
      <c r="B20" s="130" t="s">
        <v>76</v>
      </c>
      <c r="C20" s="48">
        <v>18000000</v>
      </c>
      <c r="D20" s="190">
        <f>D21+D25+D27</f>
        <v>270940</v>
      </c>
      <c r="E20" s="190">
        <f>E21+E25+E27</f>
        <v>97201.01000000001</v>
      </c>
      <c r="F20" s="210">
        <f>F21+F25+F27+F26</f>
        <v>109782.51</v>
      </c>
      <c r="G20" s="190">
        <f t="shared" si="0"/>
        <v>12581.499999999985</v>
      </c>
      <c r="H20" s="197">
        <f t="shared" si="1"/>
        <v>112.94379554286522</v>
      </c>
      <c r="I20" s="198">
        <f t="shared" si="2"/>
        <v>-161157.49</v>
      </c>
      <c r="J20" s="198">
        <f t="shared" si="3"/>
        <v>40.51912231490367</v>
      </c>
      <c r="K20" s="198">
        <f>F20-70294.13</f>
        <v>39488.37999999999</v>
      </c>
      <c r="L20" s="198">
        <f>F20/70294.13*100</f>
        <v>156.17592820339334</v>
      </c>
      <c r="M20" s="197">
        <f>M21+M25+M26+M27</f>
        <v>23050.5</v>
      </c>
      <c r="N20" s="200">
        <f>F20-березень!F20</f>
        <v>30838.419999999984</v>
      </c>
      <c r="O20" s="201">
        <f t="shared" si="4"/>
        <v>7787.919999999984</v>
      </c>
      <c r="P20" s="198">
        <f t="shared" si="5"/>
        <v>133.7863386911346</v>
      </c>
      <c r="Q20" s="113"/>
      <c r="R20" s="114"/>
    </row>
    <row r="21" spans="1:18" s="6" customFormat="1" ht="18">
      <c r="A21" s="8"/>
      <c r="B21" s="49" t="s">
        <v>84</v>
      </c>
      <c r="C21" s="127">
        <v>18010000</v>
      </c>
      <c r="D21" s="190">
        <f>D22+D23+D24</f>
        <v>161400</v>
      </c>
      <c r="E21" s="190">
        <f>E22+E23+E24</f>
        <v>51686.26</v>
      </c>
      <c r="F21" s="211">
        <f>F22+F23+F24</f>
        <v>58036.25</v>
      </c>
      <c r="G21" s="190">
        <f t="shared" si="0"/>
        <v>6349.989999999998</v>
      </c>
      <c r="H21" s="197">
        <f t="shared" si="1"/>
        <v>112.28564419247977</v>
      </c>
      <c r="I21" s="198">
        <f t="shared" si="2"/>
        <v>-103363.75</v>
      </c>
      <c r="J21" s="198">
        <f t="shared" si="3"/>
        <v>35.95802354399009</v>
      </c>
      <c r="K21" s="198">
        <f>F21-37283.9</f>
        <v>20752.35</v>
      </c>
      <c r="L21" s="198">
        <f>F21/37283.9*100</f>
        <v>155.66035205544483</v>
      </c>
      <c r="M21" s="197">
        <f>M22+M23+M24</f>
        <v>14845</v>
      </c>
      <c r="N21" s="200">
        <f>F21-березень!F21</f>
        <v>17648.14</v>
      </c>
      <c r="O21" s="201">
        <f t="shared" si="4"/>
        <v>2803.1399999999994</v>
      </c>
      <c r="P21" s="198">
        <f t="shared" si="5"/>
        <v>118.88272145503535</v>
      </c>
      <c r="Q21" s="113"/>
      <c r="R21" s="114"/>
    </row>
    <row r="22" spans="1:20" s="6" customFormat="1" ht="18">
      <c r="A22" s="8"/>
      <c r="B22" s="55" t="s">
        <v>77</v>
      </c>
      <c r="C22" s="138"/>
      <c r="D22" s="212">
        <v>18500</v>
      </c>
      <c r="E22" s="212">
        <v>6631.6</v>
      </c>
      <c r="F22" s="213">
        <v>8413.21</v>
      </c>
      <c r="G22" s="212">
        <f>F22-E22</f>
        <v>1781.6099999999988</v>
      </c>
      <c r="H22" s="214">
        <f t="shared" si="1"/>
        <v>126.8654623318656</v>
      </c>
      <c r="I22" s="215">
        <f t="shared" si="2"/>
        <v>-10086.79</v>
      </c>
      <c r="J22" s="215">
        <f t="shared" si="3"/>
        <v>45.47681081081081</v>
      </c>
      <c r="K22" s="216">
        <f>F22-4219.07</f>
        <v>4194.139999999999</v>
      </c>
      <c r="L22" s="216">
        <f>F22/4219.07*100</f>
        <v>199.40911148665464</v>
      </c>
      <c r="M22" s="214">
        <f>E22-березень!E22</f>
        <v>3100.0000000000005</v>
      </c>
      <c r="N22" s="217">
        <f>F22-березень!F22</f>
        <v>4218.319999999999</v>
      </c>
      <c r="O22" s="218">
        <f t="shared" si="4"/>
        <v>1118.3199999999983</v>
      </c>
      <c r="P22" s="215">
        <f t="shared" si="5"/>
        <v>136.07483870967735</v>
      </c>
      <c r="Q22" s="113"/>
      <c r="R22" s="114"/>
      <c r="T22" s="186"/>
    </row>
    <row r="23" spans="1:18" s="6" customFormat="1" ht="18">
      <c r="A23" s="8"/>
      <c r="B23" s="55" t="s">
        <v>78</v>
      </c>
      <c r="C23" s="138"/>
      <c r="D23" s="212">
        <v>2800</v>
      </c>
      <c r="E23" s="212">
        <v>276.84</v>
      </c>
      <c r="F23" s="213">
        <v>386.58</v>
      </c>
      <c r="G23" s="212">
        <f>F23-E23</f>
        <v>109.74000000000001</v>
      </c>
      <c r="H23" s="214">
        <f t="shared" si="1"/>
        <v>139.64022540095363</v>
      </c>
      <c r="I23" s="215">
        <f t="shared" si="2"/>
        <v>-2413.42</v>
      </c>
      <c r="J23" s="215">
        <f t="shared" si="3"/>
        <v>13.806428571428569</v>
      </c>
      <c r="K23" s="215">
        <f>F23-141.72</f>
        <v>244.85999999999999</v>
      </c>
      <c r="L23" s="215">
        <f>F23/141.72*100</f>
        <v>272.77730736663847</v>
      </c>
      <c r="M23" s="214">
        <f>E23-березень!E23</f>
        <v>74.99999999999997</v>
      </c>
      <c r="N23" s="217">
        <f>F23-березень!F23</f>
        <v>72.69999999999999</v>
      </c>
      <c r="O23" s="218">
        <f t="shared" si="4"/>
        <v>-2.299999999999983</v>
      </c>
      <c r="P23" s="215"/>
      <c r="Q23" s="113"/>
      <c r="R23" s="114"/>
    </row>
    <row r="24" spans="1:18" s="6" customFormat="1" ht="18">
      <c r="A24" s="8"/>
      <c r="B24" s="55" t="s">
        <v>79</v>
      </c>
      <c r="C24" s="138"/>
      <c r="D24" s="212">
        <v>140100</v>
      </c>
      <c r="E24" s="212">
        <v>44777.82</v>
      </c>
      <c r="F24" s="213">
        <v>49236.46</v>
      </c>
      <c r="G24" s="212">
        <f>F24-E24</f>
        <v>4458.639999999999</v>
      </c>
      <c r="H24" s="214">
        <f t="shared" si="1"/>
        <v>109.9572511569344</v>
      </c>
      <c r="I24" s="215">
        <f t="shared" si="2"/>
        <v>-90863.54000000001</v>
      </c>
      <c r="J24" s="215">
        <f t="shared" si="3"/>
        <v>35.14379728765168</v>
      </c>
      <c r="K24" s="216">
        <f>F24-32923.11</f>
        <v>16313.349999999999</v>
      </c>
      <c r="L24" s="216">
        <f>F24/32923.11*100</f>
        <v>149.54984507842667</v>
      </c>
      <c r="M24" s="214">
        <f>E24-березень!E24</f>
        <v>11670</v>
      </c>
      <c r="N24" s="217">
        <f>F24-березень!F24</f>
        <v>13357.120000000003</v>
      </c>
      <c r="O24" s="218">
        <f t="shared" si="4"/>
        <v>1687.1200000000026</v>
      </c>
      <c r="P24" s="215">
        <f t="shared" si="5"/>
        <v>114.45689802913455</v>
      </c>
      <c r="Q24" s="113"/>
      <c r="R24" s="114"/>
    </row>
    <row r="25" spans="1:18" s="6" customFormat="1" ht="18">
      <c r="A25" s="8"/>
      <c r="B25" s="49" t="s">
        <v>85</v>
      </c>
      <c r="C25" s="127">
        <v>18030000</v>
      </c>
      <c r="D25" s="190">
        <v>77</v>
      </c>
      <c r="E25" s="190">
        <v>19.51</v>
      </c>
      <c r="F25" s="196">
        <v>32.71</v>
      </c>
      <c r="G25" s="190">
        <f>F25-E25</f>
        <v>13.2</v>
      </c>
      <c r="H25" s="197">
        <f t="shared" si="1"/>
        <v>167.65761148129164</v>
      </c>
      <c r="I25" s="198">
        <f t="shared" si="2"/>
        <v>-44.29</v>
      </c>
      <c r="J25" s="198">
        <f t="shared" si="3"/>
        <v>42.48051948051948</v>
      </c>
      <c r="K25" s="198">
        <f>F25-23.16</f>
        <v>9.55</v>
      </c>
      <c r="L25" s="198">
        <f>F25/23.16*100</f>
        <v>141.2348877374784</v>
      </c>
      <c r="M25" s="197">
        <f>E25-березень!E25</f>
        <v>5.500000000000002</v>
      </c>
      <c r="N25" s="200">
        <f>F25-березень!F25</f>
        <v>7.900000000000002</v>
      </c>
      <c r="O25" s="201">
        <f t="shared" si="4"/>
        <v>2.4000000000000004</v>
      </c>
      <c r="P25" s="198">
        <f t="shared" si="5"/>
        <v>143.63636363636363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190"/>
      <c r="E26" s="190"/>
      <c r="F26" s="196">
        <v>-107.01</v>
      </c>
      <c r="G26" s="190">
        <f aca="true" t="shared" si="6" ref="G26:G32">F26-E26</f>
        <v>-107.01</v>
      </c>
      <c r="H26" s="197"/>
      <c r="I26" s="198">
        <f t="shared" si="2"/>
        <v>-107.01</v>
      </c>
      <c r="J26" s="198"/>
      <c r="K26" s="198">
        <f>F26-(-59.24)</f>
        <v>-47.77</v>
      </c>
      <c r="L26" s="198">
        <f>F26/(-59.24)*100</f>
        <v>180.63808237677245</v>
      </c>
      <c r="M26" s="197">
        <f>E26-березень!E26</f>
        <v>0</v>
      </c>
      <c r="N26" s="200">
        <f>F26-березень!F26</f>
        <v>-25.47</v>
      </c>
      <c r="O26" s="201">
        <f t="shared" si="4"/>
        <v>-25.47</v>
      </c>
      <c r="P26" s="198"/>
      <c r="Q26" s="113"/>
      <c r="R26" s="114"/>
    </row>
    <row r="27" spans="1:18" s="6" customFormat="1" ht="18">
      <c r="A27" s="8"/>
      <c r="B27" s="49" t="s">
        <v>87</v>
      </c>
      <c r="C27" s="127">
        <v>18050000</v>
      </c>
      <c r="D27" s="36">
        <v>109463</v>
      </c>
      <c r="E27" s="36">
        <v>45495.24</v>
      </c>
      <c r="F27" s="172">
        <v>51820.56</v>
      </c>
      <c r="G27" s="202">
        <f t="shared" si="6"/>
        <v>6325.32</v>
      </c>
      <c r="H27" s="204">
        <f t="shared" si="1"/>
        <v>113.90325669234846</v>
      </c>
      <c r="I27" s="205">
        <f t="shared" si="2"/>
        <v>-57642.44</v>
      </c>
      <c r="J27" s="205">
        <f t="shared" si="3"/>
        <v>47.340708732631114</v>
      </c>
      <c r="K27" s="219">
        <f>F27-33046.32</f>
        <v>18774.239999999998</v>
      </c>
      <c r="L27" s="219">
        <f>F27/33046.32*100</f>
        <v>156.8118931245597</v>
      </c>
      <c r="M27" s="204">
        <f>E27-березень!E27</f>
        <v>8200</v>
      </c>
      <c r="N27" s="208">
        <f>F27-березень!F27</f>
        <v>13207.849999999999</v>
      </c>
      <c r="O27" s="207">
        <f t="shared" si="4"/>
        <v>5007.8499999999985</v>
      </c>
      <c r="P27" s="205">
        <f>N27/M27*100</f>
        <v>161.07134146341463</v>
      </c>
      <c r="Q27" s="113"/>
      <c r="R27" s="114"/>
    </row>
    <row r="28" spans="1:18" s="6" customFormat="1" ht="15" hidden="1">
      <c r="A28" s="8"/>
      <c r="B28" s="55" t="s">
        <v>94</v>
      </c>
      <c r="C28" s="108">
        <v>18050200</v>
      </c>
      <c r="D28" s="109">
        <v>0</v>
      </c>
      <c r="E28" s="109">
        <v>0</v>
      </c>
      <c r="F28" s="171">
        <v>0.18</v>
      </c>
      <c r="G28" s="109">
        <f t="shared" si="6"/>
        <v>0.18</v>
      </c>
      <c r="H28" s="111"/>
      <c r="I28" s="110">
        <f t="shared" si="2"/>
        <v>0.18</v>
      </c>
      <c r="J28" s="110"/>
      <c r="K28" s="142">
        <f>F28-(-1.22)</f>
        <v>1.4</v>
      </c>
      <c r="L28" s="142"/>
      <c r="M28" s="111">
        <f>E28-березень!E28</f>
        <v>0</v>
      </c>
      <c r="N28" s="179">
        <f>F28-березень!F28</f>
        <v>0.01999999999999999</v>
      </c>
      <c r="O28" s="112">
        <f t="shared" si="4"/>
        <v>0.01999999999999999</v>
      </c>
      <c r="P28" s="110"/>
      <c r="Q28" s="113"/>
      <c r="R28" s="114"/>
    </row>
    <row r="29" spans="1:18" s="6" customFormat="1" ht="15" hidden="1">
      <c r="A29" s="8"/>
      <c r="B29" s="55" t="s">
        <v>95</v>
      </c>
      <c r="C29" s="108">
        <v>18050300</v>
      </c>
      <c r="D29" s="109">
        <v>27600</v>
      </c>
      <c r="E29" s="109">
        <v>11255.97</v>
      </c>
      <c r="F29" s="171">
        <v>12484.76</v>
      </c>
      <c r="G29" s="109">
        <f t="shared" si="6"/>
        <v>1228.7900000000009</v>
      </c>
      <c r="H29" s="111">
        <f t="shared" si="1"/>
        <v>110.91678460408123</v>
      </c>
      <c r="I29" s="110">
        <f t="shared" si="2"/>
        <v>-15115.24</v>
      </c>
      <c r="J29" s="110">
        <f t="shared" si="3"/>
        <v>45.23463768115942</v>
      </c>
      <c r="K29" s="142">
        <f>F29-8182.41</f>
        <v>4302.35</v>
      </c>
      <c r="L29" s="142">
        <f>F29/8182.41*100</f>
        <v>152.58047445679207</v>
      </c>
      <c r="M29" s="111">
        <f>E29-березень!E29</f>
        <v>1900</v>
      </c>
      <c r="N29" s="179">
        <f>F29-березень!F29</f>
        <v>2672.2700000000004</v>
      </c>
      <c r="O29" s="112">
        <f t="shared" si="4"/>
        <v>772.2700000000004</v>
      </c>
      <c r="P29" s="110">
        <f>N29/M29*100</f>
        <v>140.64578947368423</v>
      </c>
      <c r="Q29" s="113"/>
      <c r="R29" s="114"/>
    </row>
    <row r="30" spans="1:18" s="6" customFormat="1" ht="15" hidden="1">
      <c r="A30" s="8"/>
      <c r="B30" s="55" t="s">
        <v>96</v>
      </c>
      <c r="C30" s="108">
        <v>18050400</v>
      </c>
      <c r="D30" s="109">
        <v>81812</v>
      </c>
      <c r="E30" s="109">
        <v>34236.08</v>
      </c>
      <c r="F30" s="171">
        <v>39321.61</v>
      </c>
      <c r="G30" s="109">
        <f t="shared" si="6"/>
        <v>5085.529999999999</v>
      </c>
      <c r="H30" s="111">
        <f t="shared" si="1"/>
        <v>114.85429990816705</v>
      </c>
      <c r="I30" s="110">
        <f t="shared" si="2"/>
        <v>-42490.39</v>
      </c>
      <c r="J30" s="110">
        <f t="shared" si="3"/>
        <v>48.06337701070748</v>
      </c>
      <c r="K30" s="142">
        <f>F30-24859.36</f>
        <v>14462.25</v>
      </c>
      <c r="L30" s="142">
        <f>F30/24859.36*100</f>
        <v>158.17627646085822</v>
      </c>
      <c r="M30" s="111">
        <f>E30-березень!E30</f>
        <v>6300</v>
      </c>
      <c r="N30" s="179">
        <f>F30-березень!F30</f>
        <v>10529.23</v>
      </c>
      <c r="O30" s="112">
        <f t="shared" si="4"/>
        <v>4229.23</v>
      </c>
      <c r="P30" s="110">
        <f>N30/M30*100</f>
        <v>167.13063492063492</v>
      </c>
      <c r="Q30" s="113"/>
      <c r="R30" s="114"/>
    </row>
    <row r="31" spans="1:18" s="6" customFormat="1" ht="15" hidden="1">
      <c r="A31" s="8"/>
      <c r="B31" s="55" t="s">
        <v>97</v>
      </c>
      <c r="C31" s="108">
        <v>18050500</v>
      </c>
      <c r="D31" s="109">
        <v>51</v>
      </c>
      <c r="E31" s="109">
        <v>3.19</v>
      </c>
      <c r="F31" s="171">
        <v>14.01</v>
      </c>
      <c r="G31" s="109">
        <f t="shared" si="6"/>
        <v>10.82</v>
      </c>
      <c r="H31" s="111">
        <f t="shared" si="1"/>
        <v>439.1849529780564</v>
      </c>
      <c r="I31" s="110">
        <f t="shared" si="2"/>
        <v>-36.99</v>
      </c>
      <c r="J31" s="110">
        <f t="shared" si="3"/>
        <v>27.47058823529412</v>
      </c>
      <c r="K31" s="142">
        <f>F31-5.75</f>
        <v>8.26</v>
      </c>
      <c r="L31" s="142">
        <f>F31/5.75*100</f>
        <v>243.65217391304347</v>
      </c>
      <c r="M31" s="111">
        <f>E31-березень!E31</f>
        <v>0</v>
      </c>
      <c r="N31" s="179">
        <f>F31-березень!F31</f>
        <v>6.319999999999999</v>
      </c>
      <c r="O31" s="112">
        <f t="shared" si="4"/>
        <v>6.319999999999999</v>
      </c>
      <c r="P31" s="110"/>
      <c r="Q31" s="113"/>
      <c r="R31" s="114"/>
    </row>
    <row r="32" spans="1:18" s="6" customFormat="1" ht="15" hidden="1">
      <c r="A32" s="8"/>
      <c r="B32" s="49" t="s">
        <v>47</v>
      </c>
      <c r="C32" s="48">
        <v>19010000</v>
      </c>
      <c r="D32" s="36">
        <v>0</v>
      </c>
      <c r="E32" s="36">
        <v>0</v>
      </c>
      <c r="F32" s="36">
        <v>0</v>
      </c>
      <c r="G32" s="36">
        <f t="shared" si="6"/>
        <v>0</v>
      </c>
      <c r="H32" s="32"/>
      <c r="I32" s="42">
        <f t="shared" si="2"/>
        <v>0</v>
      </c>
      <c r="J32" s="42"/>
      <c r="K32" s="132">
        <f>F32-2014.1</f>
        <v>-2014.1</v>
      </c>
      <c r="L32" s="132">
        <f>F32/2014.1*100</f>
        <v>0</v>
      </c>
      <c r="M32" s="32">
        <v>0</v>
      </c>
      <c r="N32" s="178">
        <f>F32-березень!F32</f>
        <v>0</v>
      </c>
      <c r="O32" s="40">
        <f t="shared" si="4"/>
        <v>0</v>
      </c>
      <c r="P32" s="42"/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D34+D35+D36+D37+D38+D40+D42+D43+D44+D45+D46+D51+D52+D56</f>
        <v>42820</v>
      </c>
      <c r="E33" s="15">
        <f>E34+E35+E36+E37+E38+E40+E42+E43+E44+E45+E46+E51+E52+E56</f>
        <v>14246.029999999999</v>
      </c>
      <c r="F33" s="15">
        <f>F34+F35+F36+F37+F38+F40+F42+F43+F44+F45+F46+F51+F52+F56+F39</f>
        <v>16760.644</v>
      </c>
      <c r="G33" s="191">
        <f>G34+G35+G36+G37+G38+G40+G42+G43+G44+G45+G46+G51+G52+G56</f>
        <v>2507.8139999999994</v>
      </c>
      <c r="H33" s="192">
        <f>F33/E33*100</f>
        <v>117.65133163414652</v>
      </c>
      <c r="I33" s="193">
        <f>F33-D33</f>
        <v>-26059.356</v>
      </c>
      <c r="J33" s="193">
        <f>F33/D33*100</f>
        <v>39.142092480149465</v>
      </c>
      <c r="K33" s="191">
        <f>F33-10433.59</f>
        <v>6327.054</v>
      </c>
      <c r="L33" s="191">
        <f>F33/10433.59*100</f>
        <v>160.6411982836205</v>
      </c>
      <c r="M33" s="191">
        <f>M34+M35+M36+M37+M38+M40+M42+M43+M44+M45+M46+M51+M52+M56</f>
        <v>3735.999</v>
      </c>
      <c r="N33" s="191">
        <f>N34+N35+N36+N37+N38+N40+N42+N43+N44+N45+N46+N51+N52+N56+N39</f>
        <v>6088.357000000001</v>
      </c>
      <c r="O33" s="191">
        <f>O34+O35+O36+O37+O38+O40+O42+O43+O44+O45+O46+O51+O52+O56</f>
        <v>2345.558000000001</v>
      </c>
      <c r="P33" s="191">
        <f>N33/M33*100</f>
        <v>162.96463141451594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100</v>
      </c>
      <c r="E34" s="33">
        <v>54</v>
      </c>
      <c r="F34" s="170">
        <v>95.746</v>
      </c>
      <c r="G34" s="202">
        <f>F34-E34</f>
        <v>41.745999999999995</v>
      </c>
      <c r="H34" s="204">
        <f aca="true" t="shared" si="7" ref="H34:H57">F34/E34*100</f>
        <v>177.3074074074074</v>
      </c>
      <c r="I34" s="205">
        <f>F34-D34</f>
        <v>-4.254000000000005</v>
      </c>
      <c r="J34" s="205">
        <f>F34/D34*100</f>
        <v>95.746</v>
      </c>
      <c r="K34" s="205">
        <f>F34-83.98</f>
        <v>11.765999999999991</v>
      </c>
      <c r="L34" s="205">
        <f>F34/83.98*100</f>
        <v>114.01047868540128</v>
      </c>
      <c r="M34" s="204">
        <f>E34-березень!E34</f>
        <v>3</v>
      </c>
      <c r="N34" s="208">
        <f>F34-березень!F34</f>
        <v>1.0989999999999895</v>
      </c>
      <c r="O34" s="207">
        <f>N34-M34</f>
        <v>-1.9010000000000105</v>
      </c>
      <c r="P34" s="205">
        <f aca="true" t="shared" si="8" ref="P34:P57">N34/M34*100</f>
        <v>36.633333333332985</v>
      </c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10000</v>
      </c>
      <c r="E35" s="33">
        <v>4537</v>
      </c>
      <c r="F35" s="170">
        <v>6753.41</v>
      </c>
      <c r="G35" s="202">
        <f aca="true" t="shared" si="9" ref="G35:G58">F35-E35</f>
        <v>2216.41</v>
      </c>
      <c r="H35" s="204">
        <f t="shared" si="7"/>
        <v>148.85188450517964</v>
      </c>
      <c r="I35" s="205">
        <f aca="true" t="shared" si="10" ref="I35:I58">F35-D35</f>
        <v>-3246.59</v>
      </c>
      <c r="J35" s="205">
        <f>F35/D35*100</f>
        <v>67.5341</v>
      </c>
      <c r="K35" s="205">
        <f>F35-0</f>
        <v>6753.41</v>
      </c>
      <c r="L35" s="205"/>
      <c r="M35" s="204">
        <f>E35-березень!E35</f>
        <v>1000</v>
      </c>
      <c r="N35" s="208">
        <f>F35-березень!F35</f>
        <v>3216.0299999999997</v>
      </c>
      <c r="O35" s="207">
        <f aca="true" t="shared" si="11" ref="O35:O58">N35-M35</f>
        <v>2216.0299999999997</v>
      </c>
      <c r="P35" s="205">
        <f t="shared" si="8"/>
        <v>321.603</v>
      </c>
      <c r="Q35" s="42"/>
      <c r="R35" s="100"/>
    </row>
    <row r="36" spans="1:18" s="6" customFormat="1" ht="18">
      <c r="A36" s="8"/>
      <c r="B36" s="144" t="s">
        <v>62</v>
      </c>
      <c r="C36" s="47">
        <v>21080500</v>
      </c>
      <c r="D36" s="33">
        <v>400</v>
      </c>
      <c r="E36" s="33">
        <v>71.44</v>
      </c>
      <c r="F36" s="170">
        <v>27.51</v>
      </c>
      <c r="G36" s="202">
        <f t="shared" si="9"/>
        <v>-43.92999999999999</v>
      </c>
      <c r="H36" s="204">
        <f t="shared" si="7"/>
        <v>38.507838745800676</v>
      </c>
      <c r="I36" s="205">
        <f t="shared" si="10"/>
        <v>-372.49</v>
      </c>
      <c r="J36" s="205">
        <f aca="true" t="shared" si="12" ref="J36:J57">F36/D36*100</f>
        <v>6.8775</v>
      </c>
      <c r="K36" s="205">
        <f>F36-18.24</f>
        <v>9.270000000000003</v>
      </c>
      <c r="L36" s="205">
        <f>F36/18.24*100</f>
        <v>150.82236842105266</v>
      </c>
      <c r="M36" s="204">
        <f>E36-березень!E36</f>
        <v>20</v>
      </c>
      <c r="N36" s="208">
        <f>F36-березень!F36</f>
        <v>0.5500000000000007</v>
      </c>
      <c r="O36" s="207">
        <f t="shared" si="11"/>
        <v>-19.45</v>
      </c>
      <c r="P36" s="205">
        <f t="shared" si="8"/>
        <v>2.7500000000000036</v>
      </c>
      <c r="Q36" s="42"/>
      <c r="R36" s="100"/>
    </row>
    <row r="37" spans="1:18" s="6" customFormat="1" ht="31.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70">
        <v>0.1</v>
      </c>
      <c r="G37" s="202">
        <f t="shared" si="9"/>
        <v>0.1</v>
      </c>
      <c r="H37" s="204"/>
      <c r="I37" s="205">
        <f t="shared" si="10"/>
        <v>0.1</v>
      </c>
      <c r="J37" s="205"/>
      <c r="K37" s="205">
        <f>F37-0</f>
        <v>0.1</v>
      </c>
      <c r="L37" s="205"/>
      <c r="M37" s="204">
        <f>E37-березень!E37</f>
        <v>0</v>
      </c>
      <c r="N37" s="208">
        <f>F37-березень!F37</f>
        <v>0</v>
      </c>
      <c r="O37" s="207">
        <f t="shared" si="11"/>
        <v>0</v>
      </c>
      <c r="P37" s="205"/>
      <c r="Q37" s="42"/>
      <c r="R37" s="100"/>
    </row>
    <row r="38" spans="1:18" s="6" customFormat="1" ht="18">
      <c r="A38" s="8"/>
      <c r="B38" s="145" t="s">
        <v>16</v>
      </c>
      <c r="C38" s="77">
        <v>21081100</v>
      </c>
      <c r="D38" s="33">
        <v>150</v>
      </c>
      <c r="E38" s="33">
        <v>40</v>
      </c>
      <c r="F38" s="170">
        <v>34.2</v>
      </c>
      <c r="G38" s="202">
        <f t="shared" si="9"/>
        <v>-5.799999999999997</v>
      </c>
      <c r="H38" s="204">
        <f t="shared" si="7"/>
        <v>85.50000000000001</v>
      </c>
      <c r="I38" s="205">
        <f t="shared" si="10"/>
        <v>-115.8</v>
      </c>
      <c r="J38" s="205">
        <f t="shared" si="12"/>
        <v>22.8</v>
      </c>
      <c r="K38" s="205">
        <f>F38-41.25</f>
        <v>-7.049999999999997</v>
      </c>
      <c r="L38" s="205">
        <f>F38/41.25*100</f>
        <v>82.90909090909092</v>
      </c>
      <c r="M38" s="204">
        <f>E38-березень!E38</f>
        <v>10</v>
      </c>
      <c r="N38" s="208">
        <f>F38-березень!F38</f>
        <v>13.800000000000004</v>
      </c>
      <c r="O38" s="207">
        <f t="shared" si="11"/>
        <v>3.8000000000000043</v>
      </c>
      <c r="P38" s="205">
        <f t="shared" si="8"/>
        <v>138.00000000000003</v>
      </c>
      <c r="Q38" s="42"/>
      <c r="R38" s="100"/>
    </row>
    <row r="39" spans="1:18" s="6" customFormat="1" ht="46.5">
      <c r="A39" s="8"/>
      <c r="B39" s="145" t="s">
        <v>83</v>
      </c>
      <c r="C39" s="77">
        <v>21081500</v>
      </c>
      <c r="D39" s="33">
        <v>0</v>
      </c>
      <c r="E39" s="33">
        <v>0</v>
      </c>
      <c r="F39" s="170">
        <v>6.8</v>
      </c>
      <c r="G39" s="202">
        <f t="shared" si="9"/>
        <v>6.8</v>
      </c>
      <c r="H39" s="204"/>
      <c r="I39" s="205">
        <f t="shared" si="10"/>
        <v>6.8</v>
      </c>
      <c r="J39" s="205"/>
      <c r="K39" s="205"/>
      <c r="L39" s="205"/>
      <c r="M39" s="204"/>
      <c r="N39" s="208">
        <f>F39-березень!F39</f>
        <v>6.8</v>
      </c>
      <c r="O39" s="207"/>
      <c r="P39" s="205"/>
      <c r="Q39" s="42"/>
      <c r="R39" s="100"/>
    </row>
    <row r="40" spans="1:18" s="6" customFormat="1" ht="30.75">
      <c r="A40" s="8"/>
      <c r="B40" s="187" t="s">
        <v>124</v>
      </c>
      <c r="C40" s="54">
        <v>22010300</v>
      </c>
      <c r="D40" s="33">
        <v>90</v>
      </c>
      <c r="E40" s="33">
        <v>24</v>
      </c>
      <c r="F40" s="170">
        <v>0</v>
      </c>
      <c r="G40" s="202">
        <f t="shared" si="9"/>
        <v>-24</v>
      </c>
      <c r="H40" s="204">
        <f t="shared" si="7"/>
        <v>0</v>
      </c>
      <c r="I40" s="205">
        <f t="shared" si="10"/>
        <v>-90</v>
      </c>
      <c r="J40" s="205">
        <f t="shared" si="12"/>
        <v>0</v>
      </c>
      <c r="K40" s="205">
        <f>F40-0</f>
        <v>0</v>
      </c>
      <c r="L40" s="205"/>
      <c r="M40" s="204">
        <f>E40-березень!E39</f>
        <v>8</v>
      </c>
      <c r="N40" s="208">
        <f>F40-березень!F39</f>
        <v>0</v>
      </c>
      <c r="O40" s="207">
        <f t="shared" si="11"/>
        <v>-8</v>
      </c>
      <c r="P40" s="205">
        <f t="shared" si="8"/>
        <v>0</v>
      </c>
      <c r="Q40" s="42"/>
      <c r="R40" s="100"/>
    </row>
    <row r="41" spans="1:18" s="6" customFormat="1" ht="18" hidden="1">
      <c r="A41" s="8"/>
      <c r="B41" s="145"/>
      <c r="C41" s="54"/>
      <c r="D41" s="33"/>
      <c r="E41" s="33"/>
      <c r="F41" s="170"/>
      <c r="G41" s="202"/>
      <c r="H41" s="204"/>
      <c r="I41" s="205"/>
      <c r="J41" s="205"/>
      <c r="K41" s="205"/>
      <c r="L41" s="205"/>
      <c r="M41" s="204">
        <f>E41-березень!E40</f>
        <v>0</v>
      </c>
      <c r="N41" s="208">
        <f>F41-березень!F40</f>
        <v>0</v>
      </c>
      <c r="O41" s="207"/>
      <c r="P41" s="205"/>
      <c r="Q41" s="42"/>
      <c r="R41" s="100"/>
    </row>
    <row r="42" spans="1:18" s="6" customFormat="1" ht="18">
      <c r="A42" s="8"/>
      <c r="B42" s="35" t="s">
        <v>81</v>
      </c>
      <c r="C42" s="77">
        <v>22012500</v>
      </c>
      <c r="D42" s="33">
        <v>9900</v>
      </c>
      <c r="E42" s="33">
        <v>2939.02</v>
      </c>
      <c r="F42" s="170">
        <v>3201.41</v>
      </c>
      <c r="G42" s="202">
        <f t="shared" si="9"/>
        <v>262.3899999999999</v>
      </c>
      <c r="H42" s="204">
        <f t="shared" si="7"/>
        <v>108.92780586726187</v>
      </c>
      <c r="I42" s="205">
        <f t="shared" si="10"/>
        <v>-6698.59</v>
      </c>
      <c r="J42" s="205">
        <f t="shared" si="12"/>
        <v>32.33747474747475</v>
      </c>
      <c r="K42" s="205">
        <f>F42-3348.03</f>
        <v>-146.62000000000035</v>
      </c>
      <c r="L42" s="205">
        <f>F42/3348.03*100</f>
        <v>95.620708297118</v>
      </c>
      <c r="M42" s="204">
        <f>E42-березень!E41</f>
        <v>800</v>
      </c>
      <c r="N42" s="208">
        <f>F42-березень!F41</f>
        <v>861.8299999999999</v>
      </c>
      <c r="O42" s="207">
        <f t="shared" si="11"/>
        <v>61.82999999999993</v>
      </c>
      <c r="P42" s="205">
        <f t="shared" si="8"/>
        <v>107.72874999999999</v>
      </c>
      <c r="Q42" s="42"/>
      <c r="R42" s="100"/>
    </row>
    <row r="43" spans="1:18" s="6" customFormat="1" ht="31.5">
      <c r="A43" s="8"/>
      <c r="B43" s="188" t="s">
        <v>111</v>
      </c>
      <c r="C43" s="77">
        <v>22012600</v>
      </c>
      <c r="D43" s="33">
        <v>1500</v>
      </c>
      <c r="E43" s="33">
        <v>390</v>
      </c>
      <c r="F43" s="170">
        <v>1.37</v>
      </c>
      <c r="G43" s="202">
        <f t="shared" si="9"/>
        <v>-388.63</v>
      </c>
      <c r="H43" s="204">
        <f t="shared" si="7"/>
        <v>0.3512820512820513</v>
      </c>
      <c r="I43" s="205">
        <f t="shared" si="10"/>
        <v>-1498.63</v>
      </c>
      <c r="J43" s="205">
        <f t="shared" si="12"/>
        <v>0.09133333333333334</v>
      </c>
      <c r="K43" s="205">
        <f>F43-0</f>
        <v>1.37</v>
      </c>
      <c r="L43" s="205"/>
      <c r="M43" s="204">
        <f>E43-березень!E42</f>
        <v>130</v>
      </c>
      <c r="N43" s="208">
        <f>F43-березень!F42</f>
        <v>0.17000000000000015</v>
      </c>
      <c r="O43" s="207">
        <f t="shared" si="11"/>
        <v>-129.83</v>
      </c>
      <c r="P43" s="205">
        <f t="shared" si="8"/>
        <v>0.1307692307692309</v>
      </c>
      <c r="Q43" s="42"/>
      <c r="R43" s="100"/>
    </row>
    <row r="44" spans="1:18" s="6" customFormat="1" ht="31.5">
      <c r="A44" s="8"/>
      <c r="B44" s="188" t="s">
        <v>125</v>
      </c>
      <c r="C44" s="77">
        <v>22012900</v>
      </c>
      <c r="D44" s="33">
        <v>50</v>
      </c>
      <c r="E44" s="33">
        <v>12</v>
      </c>
      <c r="F44" s="170">
        <v>0</v>
      </c>
      <c r="G44" s="202">
        <f t="shared" si="9"/>
        <v>-12</v>
      </c>
      <c r="H44" s="204">
        <f t="shared" si="7"/>
        <v>0</v>
      </c>
      <c r="I44" s="205">
        <f t="shared" si="10"/>
        <v>-50</v>
      </c>
      <c r="J44" s="205">
        <f t="shared" si="12"/>
        <v>0</v>
      </c>
      <c r="K44" s="205">
        <f>F44-0</f>
        <v>0</v>
      </c>
      <c r="L44" s="205"/>
      <c r="M44" s="204">
        <f>E44-березень!E43</f>
        <v>4</v>
      </c>
      <c r="N44" s="208">
        <f>F44-березень!F43</f>
        <v>0</v>
      </c>
      <c r="O44" s="207">
        <f t="shared" si="11"/>
        <v>-4</v>
      </c>
      <c r="P44" s="205">
        <f t="shared" si="8"/>
        <v>0</v>
      </c>
      <c r="Q44" s="42"/>
      <c r="R44" s="100"/>
    </row>
    <row r="45" spans="1:18" s="6" customFormat="1" ht="30.75">
      <c r="A45" s="8"/>
      <c r="B45" s="145" t="s">
        <v>14</v>
      </c>
      <c r="C45" s="54">
        <v>22080400</v>
      </c>
      <c r="D45" s="33">
        <v>8500</v>
      </c>
      <c r="E45" s="33">
        <v>2666.23</v>
      </c>
      <c r="F45" s="170">
        <v>2631.348</v>
      </c>
      <c r="G45" s="202">
        <f t="shared" si="9"/>
        <v>-34.88200000000006</v>
      </c>
      <c r="H45" s="204">
        <f t="shared" si="7"/>
        <v>98.6917107676382</v>
      </c>
      <c r="I45" s="205">
        <f t="shared" si="10"/>
        <v>-5868.652</v>
      </c>
      <c r="J45" s="205">
        <f t="shared" si="12"/>
        <v>30.957035294117645</v>
      </c>
      <c r="K45" s="205">
        <f>F45-2673.74</f>
        <v>-42.391999999999825</v>
      </c>
      <c r="L45" s="205">
        <f>F45/2673.74*100</f>
        <v>98.41450552409734</v>
      </c>
      <c r="M45" s="204">
        <f>E45-березень!E44</f>
        <v>650</v>
      </c>
      <c r="N45" s="208">
        <f>F45-березень!F44</f>
        <v>629.818</v>
      </c>
      <c r="O45" s="207">
        <f t="shared" si="11"/>
        <v>-20.182000000000016</v>
      </c>
      <c r="P45" s="205">
        <f t="shared" si="8"/>
        <v>96.89507692307691</v>
      </c>
      <c r="Q45" s="42"/>
      <c r="R45" s="100"/>
    </row>
    <row r="46" spans="1:18" s="6" customFormat="1" ht="18">
      <c r="A46" s="8"/>
      <c r="B46" s="145" t="s">
        <v>15</v>
      </c>
      <c r="C46" s="48">
        <v>22090000</v>
      </c>
      <c r="D46" s="33">
        <v>7300</v>
      </c>
      <c r="E46" s="33">
        <v>2014.19</v>
      </c>
      <c r="F46" s="170">
        <v>1998.74</v>
      </c>
      <c r="G46" s="202">
        <f t="shared" si="9"/>
        <v>-15.450000000000045</v>
      </c>
      <c r="H46" s="204">
        <f t="shared" si="7"/>
        <v>99.23294227456199</v>
      </c>
      <c r="I46" s="205">
        <f t="shared" si="10"/>
        <v>-5301.26</v>
      </c>
      <c r="J46" s="205">
        <f t="shared" si="12"/>
        <v>27.38</v>
      </c>
      <c r="K46" s="205">
        <f>F46-2831.1</f>
        <v>-832.3599999999999</v>
      </c>
      <c r="L46" s="205">
        <f>F46/2831.1*100</f>
        <v>70.59941365546962</v>
      </c>
      <c r="M46" s="204">
        <f>E46-березень!E45</f>
        <v>641</v>
      </c>
      <c r="N46" s="208">
        <f>F46-березень!F45</f>
        <v>498.6400000000001</v>
      </c>
      <c r="O46" s="207">
        <f t="shared" si="11"/>
        <v>-142.3599999999999</v>
      </c>
      <c r="P46" s="205">
        <f t="shared" si="8"/>
        <v>77.79095163806554</v>
      </c>
      <c r="Q46" s="42"/>
      <c r="R46" s="100"/>
    </row>
    <row r="47" spans="1:18" s="6" customFormat="1" ht="15" hidden="1">
      <c r="A47" s="8"/>
      <c r="B47" s="55" t="s">
        <v>101</v>
      </c>
      <c r="C47" s="138">
        <v>22090100</v>
      </c>
      <c r="D47" s="109">
        <v>1100</v>
      </c>
      <c r="E47" s="109">
        <v>288.99</v>
      </c>
      <c r="F47" s="171">
        <v>235.42</v>
      </c>
      <c r="G47" s="36">
        <f t="shared" si="9"/>
        <v>-53.57000000000002</v>
      </c>
      <c r="H47" s="32">
        <f t="shared" si="7"/>
        <v>81.46302640229766</v>
      </c>
      <c r="I47" s="110">
        <f t="shared" si="10"/>
        <v>-864.58</v>
      </c>
      <c r="J47" s="110">
        <f t="shared" si="12"/>
        <v>21.40181818181818</v>
      </c>
      <c r="K47" s="110">
        <f>F47-319.39</f>
        <v>-83.97</v>
      </c>
      <c r="L47" s="110">
        <f>F47/319.39*100</f>
        <v>73.70925827358403</v>
      </c>
      <c r="M47" s="111">
        <f>E47-березень!E46</f>
        <v>100</v>
      </c>
      <c r="N47" s="179">
        <f>F47-березень!F46</f>
        <v>71.73999999999998</v>
      </c>
      <c r="O47" s="112">
        <f t="shared" si="11"/>
        <v>-28.26000000000002</v>
      </c>
      <c r="P47" s="132">
        <f t="shared" si="8"/>
        <v>71.73999999999998</v>
      </c>
      <c r="Q47" s="42"/>
      <c r="R47" s="100"/>
    </row>
    <row r="48" spans="1:18" s="6" customFormat="1" ht="15" hidden="1">
      <c r="A48" s="8"/>
      <c r="B48" s="55" t="s">
        <v>98</v>
      </c>
      <c r="C48" s="138">
        <v>22090200</v>
      </c>
      <c r="D48" s="109">
        <v>45</v>
      </c>
      <c r="E48" s="109">
        <v>3.04</v>
      </c>
      <c r="F48" s="171">
        <v>0.15</v>
      </c>
      <c r="G48" s="36">
        <f t="shared" si="9"/>
        <v>-2.89</v>
      </c>
      <c r="H48" s="32">
        <f t="shared" si="7"/>
        <v>4.934210526315789</v>
      </c>
      <c r="I48" s="110">
        <f t="shared" si="10"/>
        <v>-44.85</v>
      </c>
      <c r="J48" s="110">
        <f t="shared" si="12"/>
        <v>0.3333333333333333</v>
      </c>
      <c r="K48" s="110">
        <f>F48-44.45</f>
        <v>-44.300000000000004</v>
      </c>
      <c r="L48" s="110">
        <f>F48/44.45*100</f>
        <v>0.33745781777277833</v>
      </c>
      <c r="M48" s="111">
        <f>E48-березень!E47</f>
        <v>1</v>
      </c>
      <c r="N48" s="179">
        <f>F48-березень!F47</f>
        <v>0.03</v>
      </c>
      <c r="O48" s="112">
        <f t="shared" si="11"/>
        <v>-0.97</v>
      </c>
      <c r="P48" s="132">
        <f t="shared" si="8"/>
        <v>3</v>
      </c>
      <c r="Q48" s="42"/>
      <c r="R48" s="100"/>
    </row>
    <row r="49" spans="1:18" s="6" customFormat="1" ht="15" hidden="1">
      <c r="A49" s="8"/>
      <c r="B49" s="55" t="s">
        <v>99</v>
      </c>
      <c r="C49" s="138">
        <v>22090300</v>
      </c>
      <c r="D49" s="109">
        <v>1</v>
      </c>
      <c r="E49" s="109">
        <v>0</v>
      </c>
      <c r="F49" s="171">
        <v>0</v>
      </c>
      <c r="G49" s="36">
        <f t="shared" si="9"/>
        <v>0</v>
      </c>
      <c r="H49" s="32"/>
      <c r="I49" s="110">
        <f t="shared" si="10"/>
        <v>-1</v>
      </c>
      <c r="J49" s="110">
        <f t="shared" si="12"/>
        <v>0</v>
      </c>
      <c r="K49" s="110">
        <f>F49-0.73</f>
        <v>-0.73</v>
      </c>
      <c r="L49" s="110">
        <f>F49/0.73*100</f>
        <v>0</v>
      </c>
      <c r="M49" s="111">
        <f>E49-березень!E48</f>
        <v>0</v>
      </c>
      <c r="N49" s="179">
        <f>F49-березень!F48</f>
        <v>0</v>
      </c>
      <c r="O49" s="112">
        <f t="shared" si="11"/>
        <v>0</v>
      </c>
      <c r="P49" s="132"/>
      <c r="Q49" s="42"/>
      <c r="R49" s="100"/>
    </row>
    <row r="50" spans="1:18" s="6" customFormat="1" ht="15" hidden="1">
      <c r="A50" s="8"/>
      <c r="B50" s="55" t="s">
        <v>100</v>
      </c>
      <c r="C50" s="138">
        <v>22090400</v>
      </c>
      <c r="D50" s="109">
        <v>6154</v>
      </c>
      <c r="E50" s="109">
        <v>1722.17</v>
      </c>
      <c r="F50" s="171">
        <v>1763.16</v>
      </c>
      <c r="G50" s="36">
        <f t="shared" si="9"/>
        <v>40.99000000000001</v>
      </c>
      <c r="H50" s="32">
        <f t="shared" si="7"/>
        <v>102.38013668801571</v>
      </c>
      <c r="I50" s="110">
        <f t="shared" si="10"/>
        <v>-4390.84</v>
      </c>
      <c r="J50" s="110">
        <f t="shared" si="12"/>
        <v>28.65063373415665</v>
      </c>
      <c r="K50" s="110">
        <f>F50-2466.52</f>
        <v>-703.3599999999999</v>
      </c>
      <c r="L50" s="110">
        <f>F50/2466.52*100</f>
        <v>71.48370984220684</v>
      </c>
      <c r="M50" s="111">
        <f>E50-березень!E49</f>
        <v>540</v>
      </c>
      <c r="N50" s="179">
        <f>F50-березень!F49</f>
        <v>426.8600000000001</v>
      </c>
      <c r="O50" s="112">
        <f t="shared" si="11"/>
        <v>-113.13999999999987</v>
      </c>
      <c r="P50" s="132">
        <f t="shared" si="8"/>
        <v>79.04814814814817</v>
      </c>
      <c r="Q50" s="42"/>
      <c r="R50" s="100"/>
    </row>
    <row r="51" spans="1:18" s="6" customFormat="1" ht="46.5">
      <c r="A51" s="8"/>
      <c r="B51" s="13" t="s">
        <v>17</v>
      </c>
      <c r="C51" s="11" t="s">
        <v>18</v>
      </c>
      <c r="D51" s="33">
        <v>10</v>
      </c>
      <c r="E51" s="33">
        <v>0.17</v>
      </c>
      <c r="F51" s="170">
        <v>2.46</v>
      </c>
      <c r="G51" s="202">
        <f t="shared" si="9"/>
        <v>2.29</v>
      </c>
      <c r="H51" s="204">
        <f t="shared" si="7"/>
        <v>1447.0588235294117</v>
      </c>
      <c r="I51" s="205">
        <f t="shared" si="10"/>
        <v>-7.54</v>
      </c>
      <c r="J51" s="205">
        <f t="shared" si="12"/>
        <v>24.6</v>
      </c>
      <c r="K51" s="205">
        <f>F51-0</f>
        <v>2.46</v>
      </c>
      <c r="L51" s="205"/>
      <c r="M51" s="204">
        <f>E51-березень!E50</f>
        <v>-0.0010000000000000009</v>
      </c>
      <c r="N51" s="208">
        <f>F51-березень!F50</f>
        <v>0</v>
      </c>
      <c r="O51" s="207">
        <f t="shared" si="11"/>
        <v>0.0010000000000000009</v>
      </c>
      <c r="P51" s="205"/>
      <c r="Q51" s="42"/>
      <c r="R51" s="100"/>
    </row>
    <row r="52" spans="1:18" s="6" customFormat="1" ht="15.75" customHeight="1">
      <c r="A52" s="8"/>
      <c r="B52" s="146" t="s">
        <v>13</v>
      </c>
      <c r="C52" s="11" t="s">
        <v>19</v>
      </c>
      <c r="D52" s="33">
        <v>4800</v>
      </c>
      <c r="E52" s="33">
        <v>1477.98</v>
      </c>
      <c r="F52" s="170">
        <v>1974.46</v>
      </c>
      <c r="G52" s="202">
        <f t="shared" si="9"/>
        <v>496.48</v>
      </c>
      <c r="H52" s="204">
        <f t="shared" si="7"/>
        <v>133.59179420560494</v>
      </c>
      <c r="I52" s="205">
        <f t="shared" si="10"/>
        <v>-2825.54</v>
      </c>
      <c r="J52" s="205">
        <f t="shared" si="12"/>
        <v>41.13458333333334</v>
      </c>
      <c r="K52" s="205">
        <f>F52-1435.76</f>
        <v>538.7</v>
      </c>
      <c r="L52" s="205">
        <f>F52/1435.76*100</f>
        <v>137.52019836184323</v>
      </c>
      <c r="M52" s="204">
        <f>E52-березень!E51</f>
        <v>470</v>
      </c>
      <c r="N52" s="208">
        <f>F52-березень!F51</f>
        <v>859.6200000000001</v>
      </c>
      <c r="O52" s="207">
        <f t="shared" si="11"/>
        <v>389.6200000000001</v>
      </c>
      <c r="P52" s="205">
        <f t="shared" si="8"/>
        <v>182.89787234042555</v>
      </c>
      <c r="Q52" s="42"/>
      <c r="R52" s="100"/>
    </row>
    <row r="53" spans="1:18" s="6" customFormat="1" ht="18" hidden="1">
      <c r="A53" s="8"/>
      <c r="B53" s="12" t="s">
        <v>22</v>
      </c>
      <c r="C53" s="66" t="s">
        <v>23</v>
      </c>
      <c r="D53" s="33">
        <v>0</v>
      </c>
      <c r="E53" s="33">
        <v>0</v>
      </c>
      <c r="F53" s="170">
        <v>0</v>
      </c>
      <c r="G53" s="202">
        <f t="shared" si="9"/>
        <v>0</v>
      </c>
      <c r="H53" s="204" t="e">
        <f t="shared" si="7"/>
        <v>#DIV/0!</v>
      </c>
      <c r="I53" s="205">
        <f t="shared" si="10"/>
        <v>0</v>
      </c>
      <c r="J53" s="205" t="e">
        <f t="shared" si="12"/>
        <v>#DIV/0!</v>
      </c>
      <c r="K53" s="205"/>
      <c r="L53" s="205">
        <f>F53</f>
        <v>0</v>
      </c>
      <c r="M53" s="204">
        <f>E53-березень!E52</f>
        <v>0</v>
      </c>
      <c r="N53" s="208">
        <f>F53-березень!F52</f>
        <v>0</v>
      </c>
      <c r="O53" s="207">
        <f t="shared" si="11"/>
        <v>0</v>
      </c>
      <c r="P53" s="205" t="e">
        <f t="shared" si="8"/>
        <v>#DIV/0!</v>
      </c>
      <c r="Q53" s="42"/>
      <c r="R53" s="100"/>
    </row>
    <row r="54" spans="1:18" s="6" customFormat="1" ht="30.75">
      <c r="A54" s="8"/>
      <c r="B54" s="55" t="s">
        <v>43</v>
      </c>
      <c r="C54" s="66"/>
      <c r="D54" s="109"/>
      <c r="E54" s="109"/>
      <c r="F54" s="171">
        <v>387.36</v>
      </c>
      <c r="G54" s="202"/>
      <c r="H54" s="204"/>
      <c r="I54" s="205"/>
      <c r="J54" s="205"/>
      <c r="K54" s="206">
        <f>F54-313.7</f>
        <v>73.66000000000003</v>
      </c>
      <c r="L54" s="206">
        <f>F54/313.7*100</f>
        <v>123.48103283391777</v>
      </c>
      <c r="M54" s="204">
        <f>E54-березень!E53</f>
        <v>0</v>
      </c>
      <c r="N54" s="220">
        <f>F54-березень!F53</f>
        <v>156.92000000000002</v>
      </c>
      <c r="O54" s="206"/>
      <c r="P54" s="205"/>
      <c r="Q54" s="42"/>
      <c r="R54" s="100"/>
    </row>
    <row r="55" spans="1:18" s="6" customFormat="1" ht="18" hidden="1">
      <c r="A55" s="8"/>
      <c r="B55" s="146" t="s">
        <v>20</v>
      </c>
      <c r="C55" s="143" t="s">
        <v>21</v>
      </c>
      <c r="D55" s="36">
        <v>0</v>
      </c>
      <c r="E55" s="36">
        <v>0</v>
      </c>
      <c r="F55" s="172">
        <v>0</v>
      </c>
      <c r="G55" s="202">
        <f t="shared" si="9"/>
        <v>0</v>
      </c>
      <c r="H55" s="204"/>
      <c r="I55" s="205">
        <f t="shared" si="10"/>
        <v>0</v>
      </c>
      <c r="J55" s="205"/>
      <c r="K55" s="206"/>
      <c r="L55" s="206"/>
      <c r="M55" s="204">
        <f>E55-березень!E54</f>
        <v>0</v>
      </c>
      <c r="N55" s="208">
        <f>F55-березень!F54</f>
        <v>0</v>
      </c>
      <c r="O55" s="207">
        <f t="shared" si="11"/>
        <v>0</v>
      </c>
      <c r="P55" s="205"/>
      <c r="Q55" s="42"/>
      <c r="R55" s="100"/>
    </row>
    <row r="56" spans="1:18" s="6" customFormat="1" ht="44.25" customHeight="1">
      <c r="A56" s="8"/>
      <c r="B56" s="146" t="s">
        <v>44</v>
      </c>
      <c r="C56" s="48">
        <v>24061900</v>
      </c>
      <c r="D56" s="33">
        <v>20</v>
      </c>
      <c r="E56" s="33">
        <v>20</v>
      </c>
      <c r="F56" s="170">
        <v>33.09</v>
      </c>
      <c r="G56" s="202">
        <f t="shared" si="9"/>
        <v>13.090000000000003</v>
      </c>
      <c r="H56" s="204">
        <f t="shared" si="7"/>
        <v>165.45000000000002</v>
      </c>
      <c r="I56" s="205">
        <f t="shared" si="10"/>
        <v>13.090000000000003</v>
      </c>
      <c r="J56" s="205">
        <f t="shared" si="12"/>
        <v>165.45000000000002</v>
      </c>
      <c r="K56" s="205">
        <f>F56-0</f>
        <v>33.09</v>
      </c>
      <c r="L56" s="205"/>
      <c r="M56" s="204">
        <f>E56-березень!E55</f>
        <v>0</v>
      </c>
      <c r="N56" s="208">
        <f>F56-березень!F55</f>
        <v>0</v>
      </c>
      <c r="O56" s="207">
        <f t="shared" si="11"/>
        <v>0</v>
      </c>
      <c r="P56" s="205"/>
      <c r="Q56" s="42"/>
      <c r="R56" s="100"/>
    </row>
    <row r="57" spans="1:18" s="6" customFormat="1" ht="30.75">
      <c r="A57" s="8"/>
      <c r="B57" s="12" t="s">
        <v>45</v>
      </c>
      <c r="C57" s="48">
        <v>31010200</v>
      </c>
      <c r="D57" s="33">
        <v>30</v>
      </c>
      <c r="E57" s="33">
        <v>7.6</v>
      </c>
      <c r="F57" s="170">
        <v>13.51</v>
      </c>
      <c r="G57" s="202">
        <f t="shared" si="9"/>
        <v>5.91</v>
      </c>
      <c r="H57" s="204">
        <f t="shared" si="7"/>
        <v>177.76315789473685</v>
      </c>
      <c r="I57" s="205">
        <f t="shared" si="10"/>
        <v>-16.490000000000002</v>
      </c>
      <c r="J57" s="205">
        <f t="shared" si="12"/>
        <v>45.03333333333333</v>
      </c>
      <c r="K57" s="205">
        <f>F57-6.52</f>
        <v>6.99</v>
      </c>
      <c r="L57" s="205">
        <f>F57/6.52*100</f>
        <v>207.20858895705524</v>
      </c>
      <c r="M57" s="204">
        <f>E57-березень!E56</f>
        <v>2.3</v>
      </c>
      <c r="N57" s="208">
        <f>F57-березень!F56</f>
        <v>7.71</v>
      </c>
      <c r="O57" s="207">
        <f t="shared" si="11"/>
        <v>5.41</v>
      </c>
      <c r="P57" s="205">
        <f t="shared" si="8"/>
        <v>335.21739130434787</v>
      </c>
      <c r="Q57" s="42"/>
      <c r="R57" s="100"/>
    </row>
    <row r="58" spans="1:18" s="6" customFormat="1" ht="30.75">
      <c r="A58" s="8"/>
      <c r="B58" s="12" t="s">
        <v>58</v>
      </c>
      <c r="C58" s="48">
        <v>31020000</v>
      </c>
      <c r="D58" s="33">
        <v>0.6</v>
      </c>
      <c r="E58" s="33">
        <v>0</v>
      </c>
      <c r="F58" s="170">
        <v>0.36</v>
      </c>
      <c r="G58" s="202">
        <f t="shared" si="9"/>
        <v>0.36</v>
      </c>
      <c r="H58" s="204"/>
      <c r="I58" s="205">
        <f t="shared" si="10"/>
        <v>-0.24</v>
      </c>
      <c r="J58" s="205"/>
      <c r="K58" s="205">
        <f>F58-0.02</f>
        <v>0.33999999999999997</v>
      </c>
      <c r="L58" s="205"/>
      <c r="M58" s="204">
        <f>E58-березень!E57</f>
        <v>0</v>
      </c>
      <c r="N58" s="208">
        <f>F58-березень!F57</f>
        <v>0.36</v>
      </c>
      <c r="O58" s="207">
        <f t="shared" si="11"/>
        <v>0.36</v>
      </c>
      <c r="P58" s="205"/>
      <c r="Q58" s="42"/>
      <c r="R58" s="100"/>
    </row>
    <row r="59" spans="1:20" s="6" customFormat="1" ht="18">
      <c r="A59" s="9"/>
      <c r="B59" s="14" t="s">
        <v>28</v>
      </c>
      <c r="C59" s="67"/>
      <c r="D59" s="191">
        <f>D8+D33+D57+D58</f>
        <v>883900.6</v>
      </c>
      <c r="E59" s="191">
        <f>E8+E33+E57+E58</f>
        <v>285928.30999999994</v>
      </c>
      <c r="F59" s="191">
        <f>F8+F33+F57+F58</f>
        <v>310905.144</v>
      </c>
      <c r="G59" s="191">
        <f>F59-E59</f>
        <v>24976.83400000003</v>
      </c>
      <c r="H59" s="192">
        <f>F59/E59*100</f>
        <v>108.7353483815576</v>
      </c>
      <c r="I59" s="193">
        <f>F59-D59</f>
        <v>-572995.456</v>
      </c>
      <c r="J59" s="193">
        <f>F59/D59*100</f>
        <v>35.17422026865917</v>
      </c>
      <c r="K59" s="193">
        <f>F59-208977.28</f>
        <v>101927.86399999997</v>
      </c>
      <c r="L59" s="193">
        <f>F59/208977.28*100</f>
        <v>148.7746151160547</v>
      </c>
      <c r="M59" s="191">
        <f>M8+M33+M57+M58</f>
        <v>75098.79899999998</v>
      </c>
      <c r="N59" s="191">
        <f>N8+N33+N57+N58</f>
        <v>90439.34699999998</v>
      </c>
      <c r="O59" s="195">
        <f>N59-M59</f>
        <v>15340.547999999995</v>
      </c>
      <c r="P59" s="193">
        <f>N59/M59*100</f>
        <v>120.42715490030673</v>
      </c>
      <c r="Q59" s="28">
        <f>N59-34768</f>
        <v>55671.34699999998</v>
      </c>
      <c r="R59" s="128">
        <f>N59/34768</f>
        <v>2.601223740220892</v>
      </c>
      <c r="T59" s="147"/>
    </row>
    <row r="60" spans="1:18" s="53" customFormat="1" ht="17.25" hidden="1">
      <c r="A60" s="50"/>
      <c r="B60" s="60"/>
      <c r="C60" s="68"/>
      <c r="D60" s="51"/>
      <c r="E60" s="51"/>
      <c r="F60" s="88"/>
      <c r="G60" s="82"/>
      <c r="H60" s="52"/>
      <c r="I60" s="59"/>
      <c r="J60" s="39"/>
      <c r="K60" s="39"/>
      <c r="L60" s="39"/>
      <c r="M60" s="52"/>
      <c r="N60" s="51"/>
      <c r="O60" s="85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51"/>
      <c r="F61" s="88"/>
      <c r="G61" s="45"/>
      <c r="H61" s="52"/>
      <c r="I61" s="63"/>
      <c r="J61" s="39"/>
      <c r="K61" s="39"/>
      <c r="L61" s="39"/>
      <c r="M61" s="32"/>
      <c r="N61" s="51"/>
      <c r="O61" s="64"/>
      <c r="P61" s="39"/>
      <c r="Q61" s="39"/>
      <c r="R61" s="102"/>
    </row>
    <row r="62" spans="1:18" s="53" customFormat="1" ht="17.25" hidden="1">
      <c r="A62" s="50"/>
      <c r="B62" s="61"/>
      <c r="C62" s="68"/>
      <c r="D62" s="62"/>
      <c r="E62" s="36"/>
      <c r="F62" s="121"/>
      <c r="G62" s="45"/>
      <c r="H62" s="52"/>
      <c r="I62" s="63"/>
      <c r="J62" s="39"/>
      <c r="K62" s="39"/>
      <c r="L62" s="39"/>
      <c r="M62" s="32"/>
      <c r="N62" s="62"/>
      <c r="O62" s="85"/>
      <c r="P62" s="39"/>
      <c r="Q62" s="39"/>
      <c r="R62" s="102"/>
    </row>
    <row r="63" spans="2:18" ht="15">
      <c r="B63" s="22" t="s">
        <v>138</v>
      </c>
      <c r="C63" s="69"/>
      <c r="D63" s="25"/>
      <c r="E63" s="25"/>
      <c r="F63" s="175"/>
      <c r="G63" s="36"/>
      <c r="H63" s="32"/>
      <c r="I63" s="43"/>
      <c r="J63" s="43"/>
      <c r="K63" s="43"/>
      <c r="L63" s="43"/>
      <c r="M63" s="33"/>
      <c r="N63" s="181"/>
      <c r="O63" s="40"/>
      <c r="P63" s="43"/>
      <c r="Q63" s="43"/>
      <c r="R63" s="103"/>
    </row>
    <row r="64" spans="2:18" ht="25.5" customHeight="1">
      <c r="B64" s="149" t="s">
        <v>112</v>
      </c>
      <c r="C64" s="150">
        <v>12020000</v>
      </c>
      <c r="D64" s="221">
        <v>0</v>
      </c>
      <c r="E64" s="221"/>
      <c r="F64" s="222">
        <v>4.5</v>
      </c>
      <c r="G64" s="202"/>
      <c r="H64" s="204"/>
      <c r="I64" s="207"/>
      <c r="J64" s="207"/>
      <c r="K64" s="207">
        <f>F64-8.75</f>
        <v>-4.25</v>
      </c>
      <c r="L64" s="207"/>
      <c r="M64" s="202"/>
      <c r="N64" s="223">
        <f>F64-березень!F63</f>
        <v>4.5</v>
      </c>
      <c r="O64" s="207"/>
      <c r="P64" s="207"/>
      <c r="Q64" s="43"/>
      <c r="R64" s="103"/>
    </row>
    <row r="65" spans="2:18" ht="31.5">
      <c r="B65" s="23" t="s">
        <v>63</v>
      </c>
      <c r="C65" s="78">
        <v>18041500</v>
      </c>
      <c r="D65" s="221">
        <v>0</v>
      </c>
      <c r="E65" s="221"/>
      <c r="F65" s="222">
        <v>-0.27</v>
      </c>
      <c r="G65" s="202">
        <f>F65-E65</f>
        <v>-0.27</v>
      </c>
      <c r="H65" s="204"/>
      <c r="I65" s="207">
        <f>F65-D65</f>
        <v>-0.27</v>
      </c>
      <c r="J65" s="207"/>
      <c r="K65" s="207">
        <f>F65-(-14.65)</f>
        <v>14.38</v>
      </c>
      <c r="L65" s="207">
        <f>F65/(-14.65)*100</f>
        <v>1.8430034129692834</v>
      </c>
      <c r="M65" s="204"/>
      <c r="N65" s="223">
        <f>F65-березень!F64</f>
        <v>0</v>
      </c>
      <c r="O65" s="207">
        <f>N65-M65</f>
        <v>0</v>
      </c>
      <c r="P65" s="207"/>
      <c r="Q65" s="43"/>
      <c r="R65" s="103"/>
    </row>
    <row r="66" spans="2:18" ht="17.25">
      <c r="B66" s="29" t="s">
        <v>46</v>
      </c>
      <c r="C66" s="79"/>
      <c r="D66" s="224">
        <f>D65</f>
        <v>0</v>
      </c>
      <c r="E66" s="224">
        <f>E65</f>
        <v>0</v>
      </c>
      <c r="F66" s="225">
        <f>SUM(F64:F65)</f>
        <v>4.23</v>
      </c>
      <c r="G66" s="226">
        <f>F66-E66</f>
        <v>4.23</v>
      </c>
      <c r="H66" s="227"/>
      <c r="I66" s="228">
        <f>F66-D66</f>
        <v>4.23</v>
      </c>
      <c r="J66" s="228"/>
      <c r="K66" s="228">
        <f>F66-(-5.9)</f>
        <v>10.13</v>
      </c>
      <c r="L66" s="228">
        <f>F66/(-5.9)*100</f>
        <v>-71.69491525423729</v>
      </c>
      <c r="M66" s="226">
        <f>M65</f>
        <v>0</v>
      </c>
      <c r="N66" s="229">
        <f>SUM(N64:N65)</f>
        <v>4.5</v>
      </c>
      <c r="O66" s="228">
        <f>N66-M66</f>
        <v>4.5</v>
      </c>
      <c r="P66" s="228"/>
      <c r="Q66" s="44"/>
      <c r="R66" s="104"/>
    </row>
    <row r="67" spans="2:18" ht="46.5" hidden="1">
      <c r="B67" s="23" t="s">
        <v>38</v>
      </c>
      <c r="C67" s="79">
        <v>21110000</v>
      </c>
      <c r="D67" s="221">
        <v>0</v>
      </c>
      <c r="E67" s="221"/>
      <c r="F67" s="222">
        <v>0</v>
      </c>
      <c r="G67" s="202" t="e">
        <f>#N/A</f>
        <v>#N/A</v>
      </c>
      <c r="H67" s="204" t="e">
        <f>F67/E67*100</f>
        <v>#DIV/0!</v>
      </c>
      <c r="I67" s="207" t="e">
        <f>#N/A</f>
        <v>#N/A</v>
      </c>
      <c r="J67" s="207" t="e">
        <f>#N/A</f>
        <v>#N/A</v>
      </c>
      <c r="K67" s="207"/>
      <c r="L67" s="207"/>
      <c r="M67" s="202">
        <v>0</v>
      </c>
      <c r="N67" s="223">
        <f>F67</f>
        <v>0</v>
      </c>
      <c r="O67" s="207" t="e">
        <f>#N/A</f>
        <v>#N/A</v>
      </c>
      <c r="P67" s="207"/>
      <c r="Q67" s="43"/>
      <c r="R67" s="103"/>
    </row>
    <row r="68" spans="2:18" ht="31.5">
      <c r="B68" s="23" t="s">
        <v>30</v>
      </c>
      <c r="C68" s="78">
        <v>31030000</v>
      </c>
      <c r="D68" s="221">
        <v>4200</v>
      </c>
      <c r="E68" s="221">
        <v>366.6</v>
      </c>
      <c r="F68" s="222">
        <v>300.88</v>
      </c>
      <c r="G68" s="202">
        <f aca="true" t="shared" si="13" ref="G68:G78">F68-E68</f>
        <v>-65.72000000000003</v>
      </c>
      <c r="H68" s="204"/>
      <c r="I68" s="207">
        <f aca="true" t="shared" si="14" ref="I68:I78">F68-D68</f>
        <v>-3899.12</v>
      </c>
      <c r="J68" s="207">
        <f>F68/D68*100</f>
        <v>7.163809523809523</v>
      </c>
      <c r="K68" s="207">
        <f>F68-91.72</f>
        <v>209.16</v>
      </c>
      <c r="L68" s="207">
        <f>F68/91.72*100</f>
        <v>328.0418665503707</v>
      </c>
      <c r="M68" s="204">
        <f>E68-березень!E67</f>
        <v>294.6</v>
      </c>
      <c r="N68" s="208">
        <f>F68-березень!F67</f>
        <v>300.73</v>
      </c>
      <c r="O68" s="207">
        <f aca="true" t="shared" si="15" ref="O68:O81">N68-M68</f>
        <v>6.1299999999999955</v>
      </c>
      <c r="P68" s="207"/>
      <c r="Q68" s="43"/>
      <c r="R68" s="103"/>
    </row>
    <row r="69" spans="2:18" ht="18">
      <c r="B69" s="23" t="s">
        <v>31</v>
      </c>
      <c r="C69" s="78">
        <v>33010000</v>
      </c>
      <c r="D69" s="221">
        <v>7459</v>
      </c>
      <c r="E69" s="221">
        <v>1634.01</v>
      </c>
      <c r="F69" s="222">
        <v>472.26</v>
      </c>
      <c r="G69" s="202">
        <f t="shared" si="13"/>
        <v>-1161.75</v>
      </c>
      <c r="H69" s="204">
        <f>F69/E69*100</f>
        <v>28.90190390511686</v>
      </c>
      <c r="I69" s="207">
        <f t="shared" si="14"/>
        <v>-6986.74</v>
      </c>
      <c r="J69" s="207">
        <f>F69/D69*100</f>
        <v>6.33141171738839</v>
      </c>
      <c r="K69" s="207">
        <f>F69-1938.06</f>
        <v>-1465.8</v>
      </c>
      <c r="L69" s="207">
        <f>F69/1938.06*100</f>
        <v>24.367666635707874</v>
      </c>
      <c r="M69" s="204">
        <f>E69-березень!E68</f>
        <v>242.5999999999999</v>
      </c>
      <c r="N69" s="208">
        <f>F69-березень!F68</f>
        <v>153.62</v>
      </c>
      <c r="O69" s="207">
        <f t="shared" si="15"/>
        <v>-88.9799999999999</v>
      </c>
      <c r="P69" s="207">
        <f>N69/M69*100</f>
        <v>63.32234130255567</v>
      </c>
      <c r="Q69" s="43"/>
      <c r="R69" s="103"/>
    </row>
    <row r="70" spans="2:18" ht="31.5">
      <c r="B70" s="23" t="s">
        <v>55</v>
      </c>
      <c r="C70" s="78">
        <v>24170000</v>
      </c>
      <c r="D70" s="221">
        <v>6000</v>
      </c>
      <c r="E70" s="221">
        <v>1188.85</v>
      </c>
      <c r="F70" s="222">
        <v>8810.08</v>
      </c>
      <c r="G70" s="202">
        <f t="shared" si="13"/>
        <v>7621.23</v>
      </c>
      <c r="H70" s="204">
        <f>F70/E70*100</f>
        <v>741.0590066030197</v>
      </c>
      <c r="I70" s="207">
        <f t="shared" si="14"/>
        <v>2810.08</v>
      </c>
      <c r="J70" s="207">
        <f>F70/D70*100</f>
        <v>146.83466666666666</v>
      </c>
      <c r="K70" s="207">
        <f>F70-34.14</f>
        <v>8775.94</v>
      </c>
      <c r="L70" s="207">
        <f>F70/34.14*100</f>
        <v>25805.74106619801</v>
      </c>
      <c r="M70" s="204">
        <f>E70-березень!E69</f>
        <v>301.9999999999999</v>
      </c>
      <c r="N70" s="208">
        <f>F70-березень!F69</f>
        <v>852.9899999999998</v>
      </c>
      <c r="O70" s="207">
        <f t="shared" si="15"/>
        <v>550.9899999999999</v>
      </c>
      <c r="P70" s="207">
        <f>N70/M70*100</f>
        <v>282.4470198675497</v>
      </c>
      <c r="Q70" s="43"/>
      <c r="R70" s="103"/>
    </row>
    <row r="71" spans="2:18" ht="18">
      <c r="B71" s="23" t="s">
        <v>113</v>
      </c>
      <c r="C71" s="78">
        <v>24110700</v>
      </c>
      <c r="D71" s="221">
        <v>12</v>
      </c>
      <c r="E71" s="221">
        <v>4</v>
      </c>
      <c r="F71" s="222">
        <v>4</v>
      </c>
      <c r="G71" s="202">
        <f t="shared" si="13"/>
        <v>0</v>
      </c>
      <c r="H71" s="204">
        <f>F71/E71*100</f>
        <v>100</v>
      </c>
      <c r="I71" s="207">
        <f t="shared" si="14"/>
        <v>-8</v>
      </c>
      <c r="J71" s="207">
        <f>F71/D71*100</f>
        <v>33.33333333333333</v>
      </c>
      <c r="K71" s="207">
        <f>F71-0</f>
        <v>4</v>
      </c>
      <c r="L71" s="207"/>
      <c r="M71" s="204">
        <f>E71-березень!E70</f>
        <v>1</v>
      </c>
      <c r="N71" s="208">
        <f>F71-березень!F70</f>
        <v>1</v>
      </c>
      <c r="O71" s="207">
        <f t="shared" si="15"/>
        <v>0</v>
      </c>
      <c r="P71" s="207">
        <f>N71/M71*100</f>
        <v>100</v>
      </c>
      <c r="Q71" s="43"/>
      <c r="R71" s="151"/>
    </row>
    <row r="72" spans="2:18" ht="33">
      <c r="B72" s="29" t="s">
        <v>52</v>
      </c>
      <c r="C72" s="70"/>
      <c r="D72" s="224">
        <f>D68+D69+D70+D71</f>
        <v>17671</v>
      </c>
      <c r="E72" s="224">
        <f>E68+E69+E70+E71</f>
        <v>3193.46</v>
      </c>
      <c r="F72" s="225">
        <f>F68+F69+F70+F71</f>
        <v>9587.22</v>
      </c>
      <c r="G72" s="226">
        <f t="shared" si="13"/>
        <v>6393.759999999999</v>
      </c>
      <c r="H72" s="227">
        <f>F72/E72*100</f>
        <v>300.2141877462063</v>
      </c>
      <c r="I72" s="228">
        <f t="shared" si="14"/>
        <v>-8083.780000000001</v>
      </c>
      <c r="J72" s="228">
        <f>F72/D72*100</f>
        <v>54.25397543998641</v>
      </c>
      <c r="K72" s="228">
        <f>F72-1938.06</f>
        <v>7649.16</v>
      </c>
      <c r="L72" s="228">
        <f>F72/1938.06*100</f>
        <v>494.6812792173617</v>
      </c>
      <c r="M72" s="226">
        <f>M68+M69+M70+M71</f>
        <v>840.1999999999998</v>
      </c>
      <c r="N72" s="230">
        <f>N68+N69+N70+N71</f>
        <v>1308.3399999999997</v>
      </c>
      <c r="O72" s="228">
        <f t="shared" si="15"/>
        <v>468.1399999999999</v>
      </c>
      <c r="P72" s="228">
        <f>N72/M72*100</f>
        <v>155.71768626517496</v>
      </c>
      <c r="Q72" s="44"/>
      <c r="R72" s="129"/>
    </row>
    <row r="73" spans="2:18" ht="46.5">
      <c r="B73" s="12" t="s">
        <v>41</v>
      </c>
      <c r="C73" s="80">
        <v>24062100</v>
      </c>
      <c r="D73" s="221">
        <v>1</v>
      </c>
      <c r="E73" s="221">
        <v>0</v>
      </c>
      <c r="F73" s="222">
        <v>3.06</v>
      </c>
      <c r="G73" s="202">
        <f t="shared" si="13"/>
        <v>3.06</v>
      </c>
      <c r="H73" s="204"/>
      <c r="I73" s="207">
        <f t="shared" si="14"/>
        <v>2.06</v>
      </c>
      <c r="J73" s="207"/>
      <c r="K73" s="207">
        <f>F73-0</f>
        <v>3.06</v>
      </c>
      <c r="L73" s="207"/>
      <c r="M73" s="204">
        <f>E73-березень!E72</f>
        <v>0</v>
      </c>
      <c r="N73" s="208">
        <f>F73-березень!F72</f>
        <v>2.62</v>
      </c>
      <c r="O73" s="207">
        <f t="shared" si="15"/>
        <v>2.62</v>
      </c>
      <c r="P73" s="207"/>
      <c r="Q73" s="43"/>
      <c r="R73" s="103"/>
    </row>
    <row r="74" spans="2:18" ht="18" hidden="1">
      <c r="B74" s="23" t="s">
        <v>53</v>
      </c>
      <c r="C74" s="78">
        <v>24061600</v>
      </c>
      <c r="D74" s="221">
        <v>0</v>
      </c>
      <c r="E74" s="221">
        <v>0</v>
      </c>
      <c r="F74" s="222">
        <v>0</v>
      </c>
      <c r="G74" s="202">
        <f t="shared" si="13"/>
        <v>0</v>
      </c>
      <c r="H74" s="204"/>
      <c r="I74" s="207">
        <f t="shared" si="14"/>
        <v>0</v>
      </c>
      <c r="J74" s="231"/>
      <c r="K74" s="207">
        <f>F74-0</f>
        <v>0</v>
      </c>
      <c r="L74" s="207">
        <f>F74/19.48*100</f>
        <v>0</v>
      </c>
      <c r="M74" s="204">
        <f>E74-березень!E73</f>
        <v>0</v>
      </c>
      <c r="N74" s="208">
        <f>F74-березень!F73</f>
        <v>0</v>
      </c>
      <c r="O74" s="207">
        <f t="shared" si="15"/>
        <v>0</v>
      </c>
      <c r="P74" s="231"/>
      <c r="Q74" s="46"/>
      <c r="R74" s="105"/>
    </row>
    <row r="75" spans="2:18" ht="18">
      <c r="B75" s="23" t="s">
        <v>47</v>
      </c>
      <c r="C75" s="78">
        <v>19010000</v>
      </c>
      <c r="D75" s="221">
        <v>9500</v>
      </c>
      <c r="E75" s="221">
        <v>2020.7</v>
      </c>
      <c r="F75" s="222">
        <v>2035.53</v>
      </c>
      <c r="G75" s="202">
        <f t="shared" si="13"/>
        <v>14.829999999999927</v>
      </c>
      <c r="H75" s="204">
        <f>F75/E75*100</f>
        <v>100.73390409264115</v>
      </c>
      <c r="I75" s="207">
        <f t="shared" si="14"/>
        <v>-7464.47</v>
      </c>
      <c r="J75" s="207">
        <f>F75/D75*100</f>
        <v>21.42663157894737</v>
      </c>
      <c r="K75" s="207">
        <f>F75-0</f>
        <v>2035.53</v>
      </c>
      <c r="L75" s="207"/>
      <c r="M75" s="204">
        <f>E75-березень!E74</f>
        <v>15</v>
      </c>
      <c r="N75" s="208">
        <f>F75-березень!F74</f>
        <v>16.529999999999973</v>
      </c>
      <c r="O75" s="207">
        <f>N75-M75</f>
        <v>1.5299999999999727</v>
      </c>
      <c r="P75" s="231">
        <f>N75/M75*100</f>
        <v>110.1999999999998</v>
      </c>
      <c r="Q75" s="46"/>
      <c r="R75" s="105"/>
    </row>
    <row r="76" spans="2:18" ht="31.5">
      <c r="B76" s="23" t="s">
        <v>51</v>
      </c>
      <c r="C76" s="78">
        <v>19050000</v>
      </c>
      <c r="D76" s="221">
        <v>0</v>
      </c>
      <c r="E76" s="221"/>
      <c r="F76" s="222">
        <v>0.52</v>
      </c>
      <c r="G76" s="202">
        <f t="shared" si="13"/>
        <v>0.52</v>
      </c>
      <c r="H76" s="204"/>
      <c r="I76" s="207">
        <f t="shared" si="14"/>
        <v>0.52</v>
      </c>
      <c r="J76" s="207"/>
      <c r="K76" s="207">
        <f>F76-0.7</f>
        <v>-0.17999999999999994</v>
      </c>
      <c r="L76" s="207">
        <f>F76/0.7*100</f>
        <v>74.28571428571429</v>
      </c>
      <c r="M76" s="204">
        <f>E76-березень!E75</f>
        <v>0</v>
      </c>
      <c r="N76" s="208">
        <f>F76-березень!F75</f>
        <v>0.12</v>
      </c>
      <c r="O76" s="207">
        <f t="shared" si="15"/>
        <v>0.12</v>
      </c>
      <c r="P76" s="207"/>
      <c r="Q76" s="43"/>
      <c r="R76" s="103"/>
    </row>
    <row r="77" spans="2:18" ht="30">
      <c r="B77" s="29" t="s">
        <v>48</v>
      </c>
      <c r="C77" s="78"/>
      <c r="D77" s="224">
        <f>D73+D76+D74+D75</f>
        <v>9501</v>
      </c>
      <c r="E77" s="224">
        <f>E73+E76+E74+E75</f>
        <v>2020.7</v>
      </c>
      <c r="F77" s="225">
        <f>F73+F76+F74+F75</f>
        <v>2039.11</v>
      </c>
      <c r="G77" s="224">
        <f>G73+G76+G74+G75</f>
        <v>18.409999999999926</v>
      </c>
      <c r="H77" s="227">
        <f>F77/E77*100</f>
        <v>100.91107042114118</v>
      </c>
      <c r="I77" s="228">
        <f t="shared" si="14"/>
        <v>-7461.89</v>
      </c>
      <c r="J77" s="228">
        <f>F77/D77*100</f>
        <v>21.462056625618356</v>
      </c>
      <c r="K77" s="228">
        <f>F77-0.7</f>
        <v>2038.4099999999999</v>
      </c>
      <c r="L77" s="228">
        <f>F77/0.7*100</f>
        <v>291301.4285714286</v>
      </c>
      <c r="M77" s="226">
        <f>M73+M76+M74+M75</f>
        <v>15</v>
      </c>
      <c r="N77" s="230">
        <f>N73+N76+N74+N75</f>
        <v>19.269999999999975</v>
      </c>
      <c r="O77" s="226">
        <f>O73+O76+O74+O75</f>
        <v>4.269999999999973</v>
      </c>
      <c r="P77" s="228">
        <f>N77/M77*100</f>
        <v>128.4666666666665</v>
      </c>
      <c r="Q77" s="44"/>
      <c r="R77" s="102"/>
    </row>
    <row r="78" spans="2:18" ht="30.75">
      <c r="B78" s="12" t="s">
        <v>42</v>
      </c>
      <c r="C78" s="48">
        <v>24110900</v>
      </c>
      <c r="D78" s="221">
        <v>43</v>
      </c>
      <c r="E78" s="221">
        <v>13.14</v>
      </c>
      <c r="F78" s="222">
        <v>9.19</v>
      </c>
      <c r="G78" s="202">
        <f t="shared" si="13"/>
        <v>-3.950000000000001</v>
      </c>
      <c r="H78" s="204">
        <f>F78/E78*100</f>
        <v>69.93911719939116</v>
      </c>
      <c r="I78" s="207">
        <f t="shared" si="14"/>
        <v>-33.81</v>
      </c>
      <c r="J78" s="207">
        <f>F78/D78*100</f>
        <v>21.37209302325581</v>
      </c>
      <c r="K78" s="207">
        <f>F78-13.38</f>
        <v>-4.190000000000001</v>
      </c>
      <c r="L78" s="207">
        <f>F78/13.38*100</f>
        <v>68.6846038863976</v>
      </c>
      <c r="M78" s="204">
        <f>E78-березень!E77</f>
        <v>0.4299999999999997</v>
      </c>
      <c r="N78" s="208">
        <f>F78-березень!F77</f>
        <v>0</v>
      </c>
      <c r="O78" s="207">
        <f t="shared" si="15"/>
        <v>-0.4299999999999997</v>
      </c>
      <c r="P78" s="207">
        <f>N78/M78</f>
        <v>0</v>
      </c>
      <c r="Q78" s="43"/>
      <c r="R78" s="103"/>
    </row>
    <row r="79" spans="2:18" ht="18" hidden="1">
      <c r="B79" s="137"/>
      <c r="C79" s="48"/>
      <c r="D79" s="221"/>
      <c r="E79" s="221"/>
      <c r="F79" s="222"/>
      <c r="G79" s="202"/>
      <c r="H79" s="204"/>
      <c r="I79" s="207"/>
      <c r="J79" s="207"/>
      <c r="K79" s="207">
        <f>F79-0</f>
        <v>0</v>
      </c>
      <c r="L79" s="207"/>
      <c r="M79" s="204">
        <f>E79-лютий!E78</f>
        <v>0</v>
      </c>
      <c r="N79" s="208">
        <f>F79-лютий!F78</f>
        <v>0</v>
      </c>
      <c r="O79" s="207">
        <f t="shared" si="15"/>
        <v>0</v>
      </c>
      <c r="P79" s="207"/>
      <c r="Q79" s="43"/>
      <c r="R79" s="103"/>
    </row>
    <row r="80" spans="2:18" ht="23.25" customHeight="1">
      <c r="B80" s="14" t="s">
        <v>32</v>
      </c>
      <c r="C80" s="71"/>
      <c r="D80" s="232">
        <f>D66+D78+D72+D77</f>
        <v>27215</v>
      </c>
      <c r="E80" s="232">
        <f>E66+E78+E72+E77</f>
        <v>5227.3</v>
      </c>
      <c r="F80" s="232">
        <f>F66+F78+F72+F77+F79</f>
        <v>11639.75</v>
      </c>
      <c r="G80" s="233">
        <f>F80-E80</f>
        <v>6412.45</v>
      </c>
      <c r="H80" s="234">
        <f>F80/E80*100</f>
        <v>222.67231649226176</v>
      </c>
      <c r="I80" s="235">
        <f>F80-D80</f>
        <v>-15575.25</v>
      </c>
      <c r="J80" s="235">
        <f>F80/D80*100</f>
        <v>42.76961234613265</v>
      </c>
      <c r="K80" s="235">
        <f>F80-2072.3</f>
        <v>9567.45</v>
      </c>
      <c r="L80" s="235">
        <f>F80/2072.3*100</f>
        <v>561.6826714278819</v>
      </c>
      <c r="M80" s="232">
        <f>M66+M78+M72+M77</f>
        <v>855.6299999999998</v>
      </c>
      <c r="N80" s="232">
        <f>N66+N78+N72+N77+N79</f>
        <v>1332.1099999999997</v>
      </c>
      <c r="O80" s="235">
        <f t="shared" si="15"/>
        <v>476.4799999999999</v>
      </c>
      <c r="P80" s="235">
        <f>N80/M80*100</f>
        <v>155.68762198613888</v>
      </c>
      <c r="Q80" s="28">
        <f>N80-8104.96</f>
        <v>-6772.85</v>
      </c>
      <c r="R80" s="101">
        <f>N80/8104.96</f>
        <v>0.16435738115919138</v>
      </c>
    </row>
    <row r="81" spans="2:18" ht="17.25">
      <c r="B81" s="21" t="s">
        <v>33</v>
      </c>
      <c r="C81" s="71"/>
      <c r="D81" s="232">
        <f>D59+D80</f>
        <v>911115.6</v>
      </c>
      <c r="E81" s="232">
        <f>E59+E80</f>
        <v>291155.6099999999</v>
      </c>
      <c r="F81" s="232">
        <f>F59+F80</f>
        <v>322544.894</v>
      </c>
      <c r="G81" s="233">
        <f>F81-E81</f>
        <v>31389.284000000043</v>
      </c>
      <c r="H81" s="234">
        <f>F81/E81*100</f>
        <v>110.78093051341173</v>
      </c>
      <c r="I81" s="235">
        <f>F81-D81</f>
        <v>-588570.706</v>
      </c>
      <c r="J81" s="235">
        <f>F81/D81*100</f>
        <v>35.40109443851033</v>
      </c>
      <c r="K81" s="235">
        <f>F81-211049.59</f>
        <v>111495.30399999997</v>
      </c>
      <c r="L81" s="235">
        <f>F81/211049.59*100</f>
        <v>152.82896024578866</v>
      </c>
      <c r="M81" s="233">
        <f>M59+M80</f>
        <v>75954.42899999999</v>
      </c>
      <c r="N81" s="233">
        <f>N59+N80</f>
        <v>91771.45699999998</v>
      </c>
      <c r="O81" s="235">
        <f t="shared" si="15"/>
        <v>15817.027999999991</v>
      </c>
      <c r="P81" s="235">
        <f>N81/M81*100</f>
        <v>120.82436562060126</v>
      </c>
      <c r="Q81" s="28">
        <f>N81-42872.96</f>
        <v>48898.49699999998</v>
      </c>
      <c r="R81" s="101">
        <f>N81/42872.96</f>
        <v>2.1405439932302315</v>
      </c>
    </row>
    <row r="82" spans="2:14" ht="15">
      <c r="B82" s="20" t="s">
        <v>35</v>
      </c>
      <c r="N82" s="26"/>
    </row>
    <row r="83" spans="2:14" ht="15">
      <c r="B83" s="4" t="s">
        <v>37</v>
      </c>
      <c r="C83" s="81">
        <v>0</v>
      </c>
      <c r="D83" s="4" t="s">
        <v>36</v>
      </c>
      <c r="N83" s="83"/>
    </row>
    <row r="84" spans="2:17" ht="30.75">
      <c r="B84" s="57" t="s">
        <v>54</v>
      </c>
      <c r="C84" s="31">
        <f>IF(O59&lt;0,ABS(O59/C83),0)</f>
        <v>0</v>
      </c>
      <c r="D84" s="4" t="s">
        <v>24</v>
      </c>
      <c r="G84" s="294"/>
      <c r="H84" s="294"/>
      <c r="I84" s="294"/>
      <c r="J84" s="294"/>
      <c r="K84" s="90"/>
      <c r="L84" s="90"/>
      <c r="P84" s="26"/>
      <c r="Q84" s="26"/>
    </row>
    <row r="85" spans="2:15" ht="34.5" customHeight="1">
      <c r="B85" s="58" t="s">
        <v>56</v>
      </c>
      <c r="C85" s="87">
        <v>42489</v>
      </c>
      <c r="D85" s="31">
        <v>11184.7</v>
      </c>
      <c r="G85" s="4" t="s">
        <v>59</v>
      </c>
      <c r="N85" s="286"/>
      <c r="O85" s="286"/>
    </row>
    <row r="86" spans="3:15" ht="15">
      <c r="C86" s="87">
        <v>42488</v>
      </c>
      <c r="D86" s="31">
        <v>11419.7</v>
      </c>
      <c r="F86" s="124" t="s">
        <v>59</v>
      </c>
      <c r="G86" s="280"/>
      <c r="H86" s="280"/>
      <c r="I86" s="131"/>
      <c r="J86" s="283"/>
      <c r="K86" s="283"/>
      <c r="L86" s="283"/>
      <c r="M86" s="283"/>
      <c r="N86" s="286"/>
      <c r="O86" s="286"/>
    </row>
    <row r="87" spans="3:15" ht="15.75" customHeight="1">
      <c r="C87" s="87">
        <v>42487</v>
      </c>
      <c r="D87" s="31">
        <v>7800.7</v>
      </c>
      <c r="F87" s="73"/>
      <c r="G87" s="280"/>
      <c r="H87" s="280"/>
      <c r="I87" s="131"/>
      <c r="J87" s="287"/>
      <c r="K87" s="287"/>
      <c r="L87" s="287"/>
      <c r="M87" s="287"/>
      <c r="N87" s="286"/>
      <c r="O87" s="286"/>
    </row>
    <row r="88" spans="3:13" ht="15.75" customHeight="1">
      <c r="C88" s="87"/>
      <c r="F88" s="73"/>
      <c r="G88" s="282"/>
      <c r="H88" s="282"/>
      <c r="I88" s="139"/>
      <c r="J88" s="283"/>
      <c r="K88" s="283"/>
      <c r="L88" s="283"/>
      <c r="M88" s="283"/>
    </row>
    <row r="89" spans="2:13" ht="18.75" customHeight="1">
      <c r="B89" s="284" t="s">
        <v>57</v>
      </c>
      <c r="C89" s="285"/>
      <c r="D89" s="148">
        <v>9087.9705</v>
      </c>
      <c r="E89" s="74"/>
      <c r="F89" s="140" t="s">
        <v>137</v>
      </c>
      <c r="G89" s="280"/>
      <c r="H89" s="280"/>
      <c r="I89" s="141"/>
      <c r="J89" s="283"/>
      <c r="K89" s="283"/>
      <c r="L89" s="283"/>
      <c r="M89" s="283"/>
    </row>
    <row r="90" spans="6:12" ht="9.75" customHeight="1">
      <c r="F90" s="73"/>
      <c r="G90" s="280"/>
      <c r="H90" s="280"/>
      <c r="I90" s="73"/>
      <c r="J90" s="74"/>
      <c r="K90" s="74"/>
      <c r="L90" s="74"/>
    </row>
    <row r="91" spans="2:12" ht="22.5" customHeight="1" hidden="1">
      <c r="B91" s="278" t="s">
        <v>60</v>
      </c>
      <c r="C91" s="279"/>
      <c r="D91" s="86">
        <v>0</v>
      </c>
      <c r="E91" s="56" t="s">
        <v>24</v>
      </c>
      <c r="F91" s="73"/>
      <c r="G91" s="280"/>
      <c r="H91" s="280"/>
      <c r="I91" s="73"/>
      <c r="J91" s="74"/>
      <c r="K91" s="74"/>
      <c r="L91" s="74"/>
    </row>
    <row r="92" spans="4:15" ht="15">
      <c r="D92" s="84"/>
      <c r="F92" s="73"/>
      <c r="G92" s="74"/>
      <c r="H92" s="74"/>
      <c r="I92" s="74"/>
      <c r="N92" s="280"/>
      <c r="O92" s="280"/>
    </row>
    <row r="93" spans="4:15" ht="15">
      <c r="D93" s="83"/>
      <c r="I93" s="31"/>
      <c r="N93" s="281"/>
      <c r="O93" s="281"/>
    </row>
    <row r="94" spans="14:15" ht="15">
      <c r="N94" s="280"/>
      <c r="O94" s="280"/>
    </row>
    <row r="98" ht="15">
      <c r="E98" s="4" t="s">
        <v>59</v>
      </c>
    </row>
  </sheetData>
  <sheetProtection/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F4:F5"/>
    <mergeCell ref="G4:G5"/>
    <mergeCell ref="H4:H5"/>
    <mergeCell ref="I4:I5"/>
    <mergeCell ref="J4:J5"/>
    <mergeCell ref="N4:N5"/>
    <mergeCell ref="O4:O5"/>
    <mergeCell ref="P4:P5"/>
    <mergeCell ref="K5:L5"/>
    <mergeCell ref="Q5:R5"/>
    <mergeCell ref="G84:J84"/>
    <mergeCell ref="N85:O85"/>
    <mergeCell ref="G90:H90"/>
    <mergeCell ref="G86:H86"/>
    <mergeCell ref="J86:M86"/>
    <mergeCell ref="N86:O86"/>
    <mergeCell ref="G87:H87"/>
    <mergeCell ref="J87:M87"/>
    <mergeCell ref="N87:O87"/>
    <mergeCell ref="B91:C91"/>
    <mergeCell ref="G91:H91"/>
    <mergeCell ref="N92:O92"/>
    <mergeCell ref="N93:O93"/>
    <mergeCell ref="N94:O94"/>
    <mergeCell ref="G88:H88"/>
    <mergeCell ref="J88:M88"/>
    <mergeCell ref="B89:C89"/>
    <mergeCell ref="G89:H89"/>
    <mergeCell ref="J89:M89"/>
  </mergeCells>
  <printOptions/>
  <pageMargins left="0" right="0" top="0" bottom="0" header="0" footer="0"/>
  <pageSetup fitToHeight="3" orientation="portrait" paperSize="9" scale="4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7"/>
  <sheetViews>
    <sheetView zoomScale="82" zoomScaleNormal="82" zoomScalePageLayoutView="0" workbookViewId="0" topLeftCell="B1">
      <pane xSplit="2" ySplit="8" topLeftCell="D55" activePane="bottomRight" state="frozen"/>
      <selection pane="topLeft" activeCell="B1" sqref="B1"/>
      <selection pane="topRight" activeCell="D1" sqref="D1"/>
      <selection pane="bottomLeft" activeCell="B9" sqref="B9"/>
      <selection pane="bottomRight" activeCell="N34" sqref="N34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1.253906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2" width="10.625" style="4" customWidth="1"/>
    <col min="13" max="13" width="12.00390625" style="4" customWidth="1"/>
    <col min="14" max="14" width="11.00390625" style="4" customWidth="1"/>
    <col min="15" max="15" width="10.875" style="4" customWidth="1"/>
    <col min="16" max="17" width="11.00390625" style="4" customWidth="1"/>
    <col min="18" max="18" width="11.00390625" style="95" customWidth="1"/>
    <col min="19" max="19" width="9.125" style="4" customWidth="1"/>
    <col min="20" max="20" width="11.50390625" style="4" customWidth="1"/>
    <col min="21" max="16384" width="9.125" style="4" customWidth="1"/>
  </cols>
  <sheetData>
    <row r="1" spans="1:18" s="1" customFormat="1" ht="26.25" customHeight="1">
      <c r="A1" s="301" t="s">
        <v>148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301"/>
      <c r="O1" s="301"/>
      <c r="P1" s="301"/>
      <c r="Q1" s="92"/>
      <c r="R1" s="93"/>
    </row>
    <row r="2" spans="2:18" s="1" customFormat="1" ht="15.75" customHeight="1">
      <c r="B2" s="319"/>
      <c r="C2" s="319"/>
      <c r="D2" s="319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303"/>
      <c r="B3" s="305"/>
      <c r="C3" s="306" t="s">
        <v>0</v>
      </c>
      <c r="D3" s="307" t="s">
        <v>121</v>
      </c>
      <c r="E3" s="34"/>
      <c r="F3" s="308" t="s">
        <v>26</v>
      </c>
      <c r="G3" s="309"/>
      <c r="H3" s="309"/>
      <c r="I3" s="309"/>
      <c r="J3" s="310"/>
      <c r="K3" s="89"/>
      <c r="L3" s="89"/>
      <c r="M3" s="311" t="s">
        <v>147</v>
      </c>
      <c r="N3" s="312" t="s">
        <v>143</v>
      </c>
      <c r="O3" s="312"/>
      <c r="P3" s="312"/>
      <c r="Q3" s="312"/>
      <c r="R3" s="312"/>
    </row>
    <row r="4" spans="1:18" ht="22.5" customHeight="1">
      <c r="A4" s="303"/>
      <c r="B4" s="305"/>
      <c r="C4" s="306"/>
      <c r="D4" s="307"/>
      <c r="E4" s="313" t="s">
        <v>146</v>
      </c>
      <c r="F4" s="317" t="s">
        <v>34</v>
      </c>
      <c r="G4" s="288" t="s">
        <v>141</v>
      </c>
      <c r="H4" s="297" t="s">
        <v>142</v>
      </c>
      <c r="I4" s="288" t="s">
        <v>122</v>
      </c>
      <c r="J4" s="297" t="s">
        <v>123</v>
      </c>
      <c r="K4" s="91" t="s">
        <v>65</v>
      </c>
      <c r="L4" s="96" t="s">
        <v>64</v>
      </c>
      <c r="M4" s="297"/>
      <c r="N4" s="299" t="s">
        <v>149</v>
      </c>
      <c r="O4" s="288" t="s">
        <v>50</v>
      </c>
      <c r="P4" s="290" t="s">
        <v>49</v>
      </c>
      <c r="Q4" s="97" t="s">
        <v>65</v>
      </c>
      <c r="R4" s="98" t="s">
        <v>64</v>
      </c>
    </row>
    <row r="5" spans="1:18" ht="78.75" customHeight="1">
      <c r="A5" s="304"/>
      <c r="B5" s="305"/>
      <c r="C5" s="306"/>
      <c r="D5" s="307"/>
      <c r="E5" s="314"/>
      <c r="F5" s="318"/>
      <c r="G5" s="289"/>
      <c r="H5" s="298"/>
      <c r="I5" s="289"/>
      <c r="J5" s="298"/>
      <c r="K5" s="291" t="s">
        <v>144</v>
      </c>
      <c r="L5" s="293"/>
      <c r="M5" s="298"/>
      <c r="N5" s="300"/>
      <c r="O5" s="289"/>
      <c r="P5" s="290"/>
      <c r="Q5" s="291" t="s">
        <v>120</v>
      </c>
      <c r="R5" s="293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77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77"/>
      <c r="O7" s="10"/>
      <c r="P7" s="10"/>
      <c r="Q7" s="10"/>
      <c r="R7" s="99"/>
    </row>
    <row r="8" spans="1:18" s="6" customFormat="1" ht="17.25">
      <c r="A8" s="7"/>
      <c r="B8" s="16" t="s">
        <v>9</v>
      </c>
      <c r="C8" s="75" t="s">
        <v>10</v>
      </c>
      <c r="D8" s="15">
        <f>D9+D15+D18+D19+D20+D32+D17</f>
        <v>841050</v>
      </c>
      <c r="E8" s="15">
        <f>E9+E15+E18+E19+E20+E32+E17</f>
        <v>200314.18000000002</v>
      </c>
      <c r="F8" s="15">
        <f>F9+F15+F18+F19+F20+F32+F17</f>
        <v>209787.71000000002</v>
      </c>
      <c r="G8" s="15">
        <f aca="true" t="shared" si="0" ref="G8:G21">F8-E8</f>
        <v>9473.529999999999</v>
      </c>
      <c r="H8" s="38">
        <f>F8/E8*100</f>
        <v>104.72933568656997</v>
      </c>
      <c r="I8" s="28">
        <f>F8-D8</f>
        <v>-631262.29</v>
      </c>
      <c r="J8" s="28">
        <f>F8/D8*100</f>
        <v>24.94354794601986</v>
      </c>
      <c r="K8" s="15">
        <f>F8-139482.78</f>
        <v>70304.93000000002</v>
      </c>
      <c r="L8" s="15">
        <f>F8/139482.78*100</f>
        <v>150.40402119888924</v>
      </c>
      <c r="M8" s="15">
        <f>M9+M15+M18+M19+M20+M32+M17</f>
        <v>77601.41</v>
      </c>
      <c r="N8" s="15">
        <f>N9+N15+N18+N19+N20+N32+N17</f>
        <v>69364.68500000001</v>
      </c>
      <c r="O8" s="15">
        <f>N8-M8</f>
        <v>-8236.724999999991</v>
      </c>
      <c r="P8" s="15">
        <f>N8/M8*100</f>
        <v>89.3858565198751</v>
      </c>
      <c r="Q8" s="15" t="e">
        <f>#N/A</f>
        <v>#N/A</v>
      </c>
      <c r="R8" s="15" t="e">
        <f>#N/A</f>
        <v>#N/A</v>
      </c>
    </row>
    <row r="9" spans="1:18" s="6" customFormat="1" ht="15">
      <c r="A9" s="8"/>
      <c r="B9" s="13" t="s">
        <v>82</v>
      </c>
      <c r="C9" s="48">
        <v>11010000</v>
      </c>
      <c r="D9" s="33">
        <v>459700</v>
      </c>
      <c r="E9" s="33">
        <v>105983.27</v>
      </c>
      <c r="F9" s="170">
        <v>112281.82</v>
      </c>
      <c r="G9" s="36">
        <f t="shared" si="0"/>
        <v>6298.550000000003</v>
      </c>
      <c r="H9" s="32">
        <f>F9/E9*100</f>
        <v>105.9429662813763</v>
      </c>
      <c r="I9" s="42">
        <f>F9-D9</f>
        <v>-347418.18</v>
      </c>
      <c r="J9" s="42">
        <f>F9/D9*100</f>
        <v>24.425020665651516</v>
      </c>
      <c r="K9" s="106">
        <f>F9-78437.5</f>
        <v>33844.32000000001</v>
      </c>
      <c r="L9" s="106">
        <f>F9/78437.5*100</f>
        <v>143.14813705179284</v>
      </c>
      <c r="M9" s="32">
        <f>E9-лютий!E9</f>
        <v>45393.005000000005</v>
      </c>
      <c r="N9" s="178">
        <f>F9-лютий!F9</f>
        <v>41957.22</v>
      </c>
      <c r="O9" s="40">
        <f>N9-M9</f>
        <v>-3435.7850000000035</v>
      </c>
      <c r="P9" s="42">
        <f>N9/M9*100</f>
        <v>92.43102544103435</v>
      </c>
      <c r="Q9" s="106"/>
      <c r="R9" s="107"/>
    </row>
    <row r="10" spans="1:18" s="6" customFormat="1" ht="15" hidden="1">
      <c r="A10" s="8"/>
      <c r="B10" s="136" t="s">
        <v>93</v>
      </c>
      <c r="C10" s="108">
        <v>11010100</v>
      </c>
      <c r="D10" s="109">
        <v>411440</v>
      </c>
      <c r="E10" s="109">
        <v>94616.84</v>
      </c>
      <c r="F10" s="171">
        <v>98464.38</v>
      </c>
      <c r="G10" s="109">
        <f t="shared" si="0"/>
        <v>3847.540000000008</v>
      </c>
      <c r="H10" s="32">
        <f aca="true" t="shared" si="1" ref="H10:H31">F10/E10*100</f>
        <v>104.06644314056568</v>
      </c>
      <c r="I10" s="110">
        <f aca="true" t="shared" si="2" ref="I10:I32">F10-D10</f>
        <v>-312975.62</v>
      </c>
      <c r="J10" s="110">
        <f aca="true" t="shared" si="3" ref="J10:J31">F10/D10*100</f>
        <v>23.93164981528291</v>
      </c>
      <c r="K10" s="112">
        <f>F10-69239.48</f>
        <v>29224.90000000001</v>
      </c>
      <c r="L10" s="112">
        <f>F10/69239.48*100</f>
        <v>142.20843368552164</v>
      </c>
      <c r="M10" s="111">
        <f>E10-лютий!E10</f>
        <v>40243</v>
      </c>
      <c r="N10" s="179">
        <f>F10-лютий!F10</f>
        <v>36250.43000000001</v>
      </c>
      <c r="O10" s="112">
        <f aca="true" t="shared" si="4" ref="O10:O32">N10-M10</f>
        <v>-3992.5699999999924</v>
      </c>
      <c r="P10" s="42">
        <f aca="true" t="shared" si="5" ref="P10:P25">N10/M10*100</f>
        <v>90.07884601048632</v>
      </c>
      <c r="Q10" s="42"/>
      <c r="R10" s="100"/>
    </row>
    <row r="11" spans="1:18" s="6" customFormat="1" ht="15" hidden="1">
      <c r="A11" s="8"/>
      <c r="B11" s="136" t="s">
        <v>89</v>
      </c>
      <c r="C11" s="108">
        <v>11010200</v>
      </c>
      <c r="D11" s="109">
        <v>23000</v>
      </c>
      <c r="E11" s="109">
        <v>7084.94</v>
      </c>
      <c r="F11" s="171">
        <v>8077.11</v>
      </c>
      <c r="G11" s="109">
        <f t="shared" si="0"/>
        <v>992.1700000000001</v>
      </c>
      <c r="H11" s="32">
        <f t="shared" si="1"/>
        <v>114.00392946164682</v>
      </c>
      <c r="I11" s="110">
        <f t="shared" si="2"/>
        <v>-14922.89</v>
      </c>
      <c r="J11" s="110">
        <f t="shared" si="3"/>
        <v>35.11786956521739</v>
      </c>
      <c r="K11" s="112">
        <f>F11-4902.53</f>
        <v>3174.58</v>
      </c>
      <c r="L11" s="112">
        <f>F11/4902.53*100</f>
        <v>164.7539127756485</v>
      </c>
      <c r="M11" s="111">
        <f>E11-лютий!E11</f>
        <v>3149.9999999999995</v>
      </c>
      <c r="N11" s="179">
        <f>F11-лютий!F11</f>
        <v>2757.95</v>
      </c>
      <c r="O11" s="112">
        <f t="shared" si="4"/>
        <v>-392.0499999999997</v>
      </c>
      <c r="P11" s="42">
        <f t="shared" si="5"/>
        <v>87.55396825396826</v>
      </c>
      <c r="Q11" s="42"/>
      <c r="R11" s="100"/>
    </row>
    <row r="12" spans="1:18" s="6" customFormat="1" ht="15" hidden="1">
      <c r="A12" s="8"/>
      <c r="B12" s="136" t="s">
        <v>92</v>
      </c>
      <c r="C12" s="108">
        <v>11010400</v>
      </c>
      <c r="D12" s="109">
        <v>6500</v>
      </c>
      <c r="E12" s="109">
        <v>1105.61</v>
      </c>
      <c r="F12" s="171">
        <v>2379.47</v>
      </c>
      <c r="G12" s="109">
        <f t="shared" si="0"/>
        <v>1273.86</v>
      </c>
      <c r="H12" s="32">
        <f t="shared" si="1"/>
        <v>215.2178435433833</v>
      </c>
      <c r="I12" s="110">
        <f t="shared" si="2"/>
        <v>-4120.530000000001</v>
      </c>
      <c r="J12" s="110">
        <f t="shared" si="3"/>
        <v>36.60723076923077</v>
      </c>
      <c r="K12" s="112">
        <f>F12-1215.38</f>
        <v>1164.0899999999997</v>
      </c>
      <c r="L12" s="112">
        <f>F12/1215.38*100</f>
        <v>195.77992068324306</v>
      </c>
      <c r="M12" s="111">
        <f>E12-лютий!E12</f>
        <v>479.9999999999999</v>
      </c>
      <c r="N12" s="179">
        <f>F12-лютий!F12</f>
        <v>1557.4399999999998</v>
      </c>
      <c r="O12" s="112">
        <f t="shared" si="4"/>
        <v>1077.44</v>
      </c>
      <c r="P12" s="42">
        <f t="shared" si="5"/>
        <v>324.4666666666667</v>
      </c>
      <c r="Q12" s="42"/>
      <c r="R12" s="100"/>
    </row>
    <row r="13" spans="1:18" s="6" customFormat="1" ht="15" hidden="1">
      <c r="A13" s="8"/>
      <c r="B13" s="136" t="s">
        <v>90</v>
      </c>
      <c r="C13" s="108">
        <v>11010500</v>
      </c>
      <c r="D13" s="109">
        <v>12400</v>
      </c>
      <c r="E13" s="109">
        <v>1909.84</v>
      </c>
      <c r="F13" s="171">
        <v>2424.94</v>
      </c>
      <c r="G13" s="109">
        <f t="shared" si="0"/>
        <v>515.1000000000001</v>
      </c>
      <c r="H13" s="32">
        <f t="shared" si="1"/>
        <v>126.97084572529637</v>
      </c>
      <c r="I13" s="110">
        <f t="shared" si="2"/>
        <v>-9975.06</v>
      </c>
      <c r="J13" s="110">
        <f t="shared" si="3"/>
        <v>19.555967741935483</v>
      </c>
      <c r="K13" s="112">
        <f>F13-1220.33</f>
        <v>1204.6100000000001</v>
      </c>
      <c r="L13" s="112">
        <f>F13/1220.33*100</f>
        <v>198.71182385092558</v>
      </c>
      <c r="M13" s="111">
        <f>E13-лютий!E13</f>
        <v>880.0049999999999</v>
      </c>
      <c r="N13" s="179">
        <f>F13-лютий!F13</f>
        <v>910.45</v>
      </c>
      <c r="O13" s="112">
        <f t="shared" si="4"/>
        <v>30.445000000000164</v>
      </c>
      <c r="P13" s="42">
        <f t="shared" si="5"/>
        <v>103.45963943386687</v>
      </c>
      <c r="Q13" s="42"/>
      <c r="R13" s="100"/>
    </row>
    <row r="14" spans="1:18" s="6" customFormat="1" ht="15" hidden="1">
      <c r="A14" s="8"/>
      <c r="B14" s="136" t="s">
        <v>91</v>
      </c>
      <c r="C14" s="108">
        <v>11010900</v>
      </c>
      <c r="D14" s="109">
        <v>6360</v>
      </c>
      <c r="E14" s="109">
        <v>1266.04</v>
      </c>
      <c r="F14" s="171">
        <v>935.92</v>
      </c>
      <c r="G14" s="109">
        <f t="shared" si="0"/>
        <v>-330.12</v>
      </c>
      <c r="H14" s="32">
        <f t="shared" si="1"/>
        <v>73.92499447094877</v>
      </c>
      <c r="I14" s="110">
        <f t="shared" si="2"/>
        <v>-5424.08</v>
      </c>
      <c r="J14" s="110">
        <f t="shared" si="3"/>
        <v>14.71572327044025</v>
      </c>
      <c r="K14" s="112">
        <f>F14-1859.78</f>
        <v>-923.86</v>
      </c>
      <c r="L14" s="112">
        <f>F14/1859.78*100</f>
        <v>50.32423189839659</v>
      </c>
      <c r="M14" s="111">
        <f>E14-лютий!E14</f>
        <v>640</v>
      </c>
      <c r="N14" s="179">
        <f>F14-лютий!F14</f>
        <v>480.94999999999993</v>
      </c>
      <c r="O14" s="112">
        <f t="shared" si="4"/>
        <v>-159.05000000000007</v>
      </c>
      <c r="P14" s="42">
        <f t="shared" si="5"/>
        <v>75.14843749999999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33">
        <v>500</v>
      </c>
      <c r="E15" s="33">
        <v>110</v>
      </c>
      <c r="F15" s="170">
        <v>185.06</v>
      </c>
      <c r="G15" s="36">
        <f t="shared" si="0"/>
        <v>75.06</v>
      </c>
      <c r="H15" s="32">
        <f t="shared" si="1"/>
        <v>168.23636363636362</v>
      </c>
      <c r="I15" s="42">
        <f t="shared" si="2"/>
        <v>-314.94</v>
      </c>
      <c r="J15" s="42">
        <f t="shared" si="3"/>
        <v>37.012</v>
      </c>
      <c r="K15" s="43">
        <f>F15-(-1019.98)</f>
        <v>1205.04</v>
      </c>
      <c r="L15" s="43">
        <f>F15/(-1019.98)*100</f>
        <v>-18.143493009666855</v>
      </c>
      <c r="M15" s="32">
        <f>E15-лютий!E15</f>
        <v>110</v>
      </c>
      <c r="N15" s="178">
        <f>F15-лютий!F15</f>
        <v>99.925</v>
      </c>
      <c r="O15" s="40">
        <f t="shared" si="4"/>
        <v>-10.075000000000003</v>
      </c>
      <c r="P15" s="42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32">
        <f>E16-лютий!E16</f>
        <v>0</v>
      </c>
      <c r="N16" s="178">
        <f>F16-лютий!F16</f>
        <v>0</v>
      </c>
      <c r="O16" s="40">
        <f t="shared" si="4"/>
        <v>0</v>
      </c>
      <c r="P16" s="42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36">
        <v>0</v>
      </c>
      <c r="E17" s="36">
        <v>0</v>
      </c>
      <c r="F17" s="172">
        <v>0.05</v>
      </c>
      <c r="G17" s="36">
        <f t="shared" si="0"/>
        <v>0.05</v>
      </c>
      <c r="H17" s="32"/>
      <c r="I17" s="42">
        <f t="shared" si="2"/>
        <v>0.05</v>
      </c>
      <c r="J17" s="42"/>
      <c r="K17" s="112">
        <f>F17-0</f>
        <v>0.05</v>
      </c>
      <c r="L17" s="112"/>
      <c r="M17" s="32">
        <f>E17-лютий!E17</f>
        <v>0</v>
      </c>
      <c r="N17" s="178">
        <f>F17-лютий!F17</f>
        <v>0</v>
      </c>
      <c r="O17" s="40">
        <f t="shared" si="4"/>
        <v>0</v>
      </c>
      <c r="P17" s="42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33">
        <v>10</v>
      </c>
      <c r="E18" s="33">
        <v>10</v>
      </c>
      <c r="F18" s="170">
        <v>105.8</v>
      </c>
      <c r="G18" s="36">
        <f t="shared" si="0"/>
        <v>95.8</v>
      </c>
      <c r="H18" s="32">
        <f t="shared" si="1"/>
        <v>1058</v>
      </c>
      <c r="I18" s="42">
        <f t="shared" si="2"/>
        <v>95.8</v>
      </c>
      <c r="J18" s="42">
        <f t="shared" si="3"/>
        <v>1058</v>
      </c>
      <c r="K18" s="43">
        <f>F18-15.8</f>
        <v>90</v>
      </c>
      <c r="L18" s="40">
        <f>F18/15.8*100</f>
        <v>669.6202531645569</v>
      </c>
      <c r="M18" s="32">
        <f>E18-лютий!E18</f>
        <v>0</v>
      </c>
      <c r="N18" s="178">
        <f>F18-лютий!F18</f>
        <v>0</v>
      </c>
      <c r="O18" s="40">
        <f t="shared" si="4"/>
        <v>0</v>
      </c>
      <c r="P18" s="42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36">
        <v>109900</v>
      </c>
      <c r="E19" s="36">
        <v>20060.4</v>
      </c>
      <c r="F19" s="172">
        <v>18270.89</v>
      </c>
      <c r="G19" s="36">
        <f t="shared" si="0"/>
        <v>-1789.510000000002</v>
      </c>
      <c r="H19" s="32">
        <f t="shared" si="1"/>
        <v>91.07939024147075</v>
      </c>
      <c r="I19" s="42">
        <f t="shared" si="2"/>
        <v>-91629.11</v>
      </c>
      <c r="J19" s="42">
        <f t="shared" si="3"/>
        <v>16.62501364877161</v>
      </c>
      <c r="K19" s="185">
        <f>F19-10070.48</f>
        <v>8200.41</v>
      </c>
      <c r="L19" s="185">
        <f>F19/10070.48*100</f>
        <v>181.4301800907206</v>
      </c>
      <c r="M19" s="32">
        <f>E19-лютий!E19</f>
        <v>8000.000000000002</v>
      </c>
      <c r="N19" s="178">
        <f>F19-лютий!F19</f>
        <v>7409.889999999999</v>
      </c>
      <c r="O19" s="40">
        <f t="shared" si="4"/>
        <v>-590.1100000000024</v>
      </c>
      <c r="P19" s="42">
        <f t="shared" si="5"/>
        <v>92.62362499999998</v>
      </c>
      <c r="Q19" s="113"/>
      <c r="R19" s="114"/>
    </row>
    <row r="20" spans="1:18" s="6" customFormat="1" ht="15">
      <c r="A20" s="8"/>
      <c r="B20" s="130" t="s">
        <v>76</v>
      </c>
      <c r="C20" s="48">
        <v>18000000</v>
      </c>
      <c r="D20" s="36">
        <f>D21+D25+D27</f>
        <v>270940</v>
      </c>
      <c r="E20" s="36">
        <f>E21+E25+E27</f>
        <v>74150.51000000001</v>
      </c>
      <c r="F20" s="184">
        <f>F21+F25+F27+F26</f>
        <v>78944.09000000001</v>
      </c>
      <c r="G20" s="36">
        <f t="shared" si="0"/>
        <v>4793.580000000002</v>
      </c>
      <c r="H20" s="32">
        <f t="shared" si="1"/>
        <v>106.46466221203335</v>
      </c>
      <c r="I20" s="42">
        <f t="shared" si="2"/>
        <v>-191995.90999999997</v>
      </c>
      <c r="J20" s="42">
        <f t="shared" si="3"/>
        <v>29.137111537609805</v>
      </c>
      <c r="K20" s="132">
        <f>F20-49978.98</f>
        <v>28965.110000000008</v>
      </c>
      <c r="L20" s="189">
        <f>F20/49978.98*100</f>
        <v>157.95458410715867</v>
      </c>
      <c r="M20" s="32">
        <f>M21+M25+M26+M27</f>
        <v>24098.405</v>
      </c>
      <c r="N20" s="178">
        <f>F20-лютий!F20</f>
        <v>19897.65000000001</v>
      </c>
      <c r="O20" s="40">
        <f t="shared" si="4"/>
        <v>-4200.75499999999</v>
      </c>
      <c r="P20" s="42">
        <f t="shared" si="5"/>
        <v>82.56832765488011</v>
      </c>
      <c r="Q20" s="113"/>
      <c r="R20" s="114"/>
    </row>
    <row r="21" spans="1:18" s="6" customFormat="1" ht="15">
      <c r="A21" s="8"/>
      <c r="B21" s="49" t="s">
        <v>84</v>
      </c>
      <c r="C21" s="127">
        <v>18010000</v>
      </c>
      <c r="D21" s="36">
        <f>D22+D23+D24</f>
        <v>161400</v>
      </c>
      <c r="E21" s="36">
        <f>E22+E23+E24</f>
        <v>36841.26</v>
      </c>
      <c r="F21" s="173">
        <f>F22+F23+F24</f>
        <v>40388.11</v>
      </c>
      <c r="G21" s="36">
        <f t="shared" si="0"/>
        <v>3546.8499999999985</v>
      </c>
      <c r="H21" s="32">
        <f t="shared" si="1"/>
        <v>109.62738516543679</v>
      </c>
      <c r="I21" s="42">
        <f t="shared" si="2"/>
        <v>-121011.89</v>
      </c>
      <c r="J21" s="42">
        <f t="shared" si="3"/>
        <v>25.02361214374226</v>
      </c>
      <c r="K21" s="132">
        <f>F21-24610.26</f>
        <v>15777.850000000002</v>
      </c>
      <c r="L21" s="110">
        <f>F21/24610.26*100</f>
        <v>164.11086270522947</v>
      </c>
      <c r="M21" s="32">
        <f>M22+M23+M24</f>
        <v>13345</v>
      </c>
      <c r="N21" s="178">
        <f>F21-лютий!F21</f>
        <v>14904.060000000001</v>
      </c>
      <c r="O21" s="40">
        <f t="shared" si="4"/>
        <v>1559.0600000000013</v>
      </c>
      <c r="P21" s="42">
        <f t="shared" si="5"/>
        <v>111.68272761333833</v>
      </c>
      <c r="Q21" s="113"/>
      <c r="R21" s="114"/>
    </row>
    <row r="22" spans="1:20" s="6" customFormat="1" ht="15">
      <c r="A22" s="8"/>
      <c r="B22" s="55" t="s">
        <v>77</v>
      </c>
      <c r="C22" s="138"/>
      <c r="D22" s="109">
        <v>18500</v>
      </c>
      <c r="E22" s="109">
        <v>3531.6</v>
      </c>
      <c r="F22" s="171">
        <v>4194.89</v>
      </c>
      <c r="G22" s="109">
        <f>F22-E22</f>
        <v>663.2900000000004</v>
      </c>
      <c r="H22" s="111">
        <f t="shared" si="1"/>
        <v>118.78157209196966</v>
      </c>
      <c r="I22" s="110">
        <f t="shared" si="2"/>
        <v>-14305.11</v>
      </c>
      <c r="J22" s="110">
        <f t="shared" si="3"/>
        <v>22.675081081081082</v>
      </c>
      <c r="K22" s="174">
        <f>F22-526.28</f>
        <v>3668.6100000000006</v>
      </c>
      <c r="L22" s="174">
        <f>F22/526.28*100</f>
        <v>797.0833016645133</v>
      </c>
      <c r="M22" s="111">
        <f>E22-лютий!E22</f>
        <v>240</v>
      </c>
      <c r="N22" s="179">
        <f>F22-лютий!F22</f>
        <v>642.1200000000003</v>
      </c>
      <c r="O22" s="112">
        <f t="shared" si="4"/>
        <v>402.12000000000035</v>
      </c>
      <c r="P22" s="110">
        <f t="shared" si="5"/>
        <v>267.5500000000001</v>
      </c>
      <c r="Q22" s="113"/>
      <c r="R22" s="114"/>
      <c r="T22" s="186"/>
    </row>
    <row r="23" spans="1:18" s="6" customFormat="1" ht="15">
      <c r="A23" s="8"/>
      <c r="B23" s="55" t="s">
        <v>78</v>
      </c>
      <c r="C23" s="138"/>
      <c r="D23" s="109">
        <v>2800</v>
      </c>
      <c r="E23" s="109">
        <v>201.84</v>
      </c>
      <c r="F23" s="171">
        <v>313.88</v>
      </c>
      <c r="G23" s="109">
        <f>F23-E23</f>
        <v>112.03999999999999</v>
      </c>
      <c r="H23" s="111">
        <f t="shared" si="1"/>
        <v>155.50931430836306</v>
      </c>
      <c r="I23" s="110">
        <f t="shared" si="2"/>
        <v>-2486.12</v>
      </c>
      <c r="J23" s="110">
        <f t="shared" si="3"/>
        <v>11.21</v>
      </c>
      <c r="K23" s="110">
        <f>F23-37.7</f>
        <v>276.18</v>
      </c>
      <c r="L23" s="110">
        <f>F23/37.7*100</f>
        <v>832.5729442970821</v>
      </c>
      <c r="M23" s="111">
        <f>E23-лютий!E23</f>
        <v>0</v>
      </c>
      <c r="N23" s="179">
        <f>F23-лютий!F23</f>
        <v>139.67</v>
      </c>
      <c r="O23" s="112">
        <f t="shared" si="4"/>
        <v>139.67</v>
      </c>
      <c r="P23" s="110"/>
      <c r="Q23" s="113"/>
      <c r="R23" s="114"/>
    </row>
    <row r="24" spans="1:18" s="6" customFormat="1" ht="15">
      <c r="A24" s="8"/>
      <c r="B24" s="55" t="s">
        <v>79</v>
      </c>
      <c r="C24" s="138"/>
      <c r="D24" s="109">
        <v>140100</v>
      </c>
      <c r="E24" s="109">
        <v>33107.82</v>
      </c>
      <c r="F24" s="171">
        <v>35879.34</v>
      </c>
      <c r="G24" s="109">
        <f>F24-E24</f>
        <v>2771.519999999997</v>
      </c>
      <c r="H24" s="111">
        <f t="shared" si="1"/>
        <v>108.37119447912909</v>
      </c>
      <c r="I24" s="110">
        <f t="shared" si="2"/>
        <v>-104220.66</v>
      </c>
      <c r="J24" s="110">
        <f t="shared" si="3"/>
        <v>25.60980728051392</v>
      </c>
      <c r="K24" s="174">
        <f>F24-24046.28</f>
        <v>11833.059999999998</v>
      </c>
      <c r="L24" s="174">
        <f>F24/24046.28*100</f>
        <v>149.20952430064025</v>
      </c>
      <c r="M24" s="111">
        <f>E24-лютий!E24</f>
        <v>13105</v>
      </c>
      <c r="N24" s="179">
        <f>F24-лютий!F24</f>
        <v>14122.269999999997</v>
      </c>
      <c r="O24" s="112">
        <f t="shared" si="4"/>
        <v>1017.2699999999968</v>
      </c>
      <c r="P24" s="110">
        <f t="shared" si="5"/>
        <v>107.76245707745133</v>
      </c>
      <c r="Q24" s="113"/>
      <c r="R24" s="114"/>
    </row>
    <row r="25" spans="1:18" s="6" customFormat="1" ht="15">
      <c r="A25" s="8"/>
      <c r="B25" s="49" t="s">
        <v>85</v>
      </c>
      <c r="C25" s="127">
        <v>18030000</v>
      </c>
      <c r="D25" s="36">
        <v>77</v>
      </c>
      <c r="E25" s="36">
        <v>14.01</v>
      </c>
      <c r="F25" s="172">
        <v>24.81</v>
      </c>
      <c r="G25" s="36">
        <f>F25-E25</f>
        <v>10.799999999999999</v>
      </c>
      <c r="H25" s="32">
        <f t="shared" si="1"/>
        <v>177.08779443254818</v>
      </c>
      <c r="I25" s="42">
        <f t="shared" si="2"/>
        <v>-52.19</v>
      </c>
      <c r="J25" s="42">
        <f t="shared" si="3"/>
        <v>32.220779220779214</v>
      </c>
      <c r="K25" s="132">
        <f>F25-17.62</f>
        <v>7.189999999999998</v>
      </c>
      <c r="L25" s="132">
        <f>F25/17.62*100</f>
        <v>140.8059023836549</v>
      </c>
      <c r="M25" s="32">
        <f>E25-лютий!E25</f>
        <v>3.4049999999999994</v>
      </c>
      <c r="N25" s="178">
        <f>F25-лютий!F25</f>
        <v>4</v>
      </c>
      <c r="O25" s="40">
        <f t="shared" si="4"/>
        <v>0.5950000000000006</v>
      </c>
      <c r="P25" s="42">
        <f t="shared" si="5"/>
        <v>117.47430249632896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36"/>
      <c r="E26" s="36"/>
      <c r="F26" s="172">
        <v>-81.54</v>
      </c>
      <c r="G26" s="36">
        <f aca="true" t="shared" si="6" ref="G26:G32">F26-E26</f>
        <v>-81.54</v>
      </c>
      <c r="H26" s="32"/>
      <c r="I26" s="42">
        <f t="shared" si="2"/>
        <v>-81.54</v>
      </c>
      <c r="J26" s="42"/>
      <c r="K26" s="132">
        <f>F26-12.89</f>
        <v>-94.43</v>
      </c>
      <c r="L26" s="132">
        <f>F26/12.89*100</f>
        <v>-632.5833979829325</v>
      </c>
      <c r="M26" s="32">
        <f>E26-лютий!E26</f>
        <v>0</v>
      </c>
      <c r="N26" s="178">
        <f>F26-лютий!F26</f>
        <v>-28.610000000000007</v>
      </c>
      <c r="O26" s="40">
        <f t="shared" si="4"/>
        <v>-28.610000000000007</v>
      </c>
      <c r="P26" s="42"/>
      <c r="Q26" s="113"/>
      <c r="R26" s="114"/>
    </row>
    <row r="27" spans="1:18" s="6" customFormat="1" ht="15">
      <c r="A27" s="8"/>
      <c r="B27" s="49" t="s">
        <v>87</v>
      </c>
      <c r="C27" s="127">
        <v>18050000</v>
      </c>
      <c r="D27" s="36">
        <v>109463</v>
      </c>
      <c r="E27" s="36">
        <v>37295.24</v>
      </c>
      <c r="F27" s="172">
        <v>38612.71</v>
      </c>
      <c r="G27" s="36">
        <f t="shared" si="6"/>
        <v>1317.4700000000012</v>
      </c>
      <c r="H27" s="32">
        <f t="shared" si="1"/>
        <v>103.53254195441563</v>
      </c>
      <c r="I27" s="42">
        <f t="shared" si="2"/>
        <v>-70850.29000000001</v>
      </c>
      <c r="J27" s="42">
        <f t="shared" si="3"/>
        <v>35.27466815270913</v>
      </c>
      <c r="K27" s="106">
        <f>F27-25338.21</f>
        <v>13274.5</v>
      </c>
      <c r="L27" s="106">
        <f>F27/25338.21*100</f>
        <v>152.3892571732573</v>
      </c>
      <c r="M27" s="32">
        <f>E27-лютий!E27</f>
        <v>10749.999999999996</v>
      </c>
      <c r="N27" s="178">
        <f>F27-лютий!F27</f>
        <v>5018.199999999997</v>
      </c>
      <c r="O27" s="40">
        <f t="shared" si="4"/>
        <v>-5731.799999999999</v>
      </c>
      <c r="P27" s="42">
        <f>N27/M27*100</f>
        <v>46.680930232558126</v>
      </c>
      <c r="Q27" s="113"/>
      <c r="R27" s="114"/>
    </row>
    <row r="28" spans="1:18" s="6" customFormat="1" ht="15">
      <c r="A28" s="8"/>
      <c r="B28" s="55" t="s">
        <v>94</v>
      </c>
      <c r="C28" s="108">
        <v>18050200</v>
      </c>
      <c r="D28" s="109">
        <v>0</v>
      </c>
      <c r="E28" s="109">
        <v>0</v>
      </c>
      <c r="F28" s="171">
        <v>0.16</v>
      </c>
      <c r="G28" s="109">
        <f t="shared" si="6"/>
        <v>0.16</v>
      </c>
      <c r="H28" s="111"/>
      <c r="I28" s="110">
        <f t="shared" si="2"/>
        <v>0.16</v>
      </c>
      <c r="J28" s="110"/>
      <c r="K28" s="142">
        <f>F28-(-1.24)</f>
        <v>1.4</v>
      </c>
      <c r="L28" s="142"/>
      <c r="M28" s="111">
        <f>E28-лютий!E28</f>
        <v>0</v>
      </c>
      <c r="N28" s="179">
        <f>F28-лютий!F28</f>
        <v>0.09</v>
      </c>
      <c r="O28" s="112">
        <f t="shared" si="4"/>
        <v>0.09</v>
      </c>
      <c r="P28" s="110"/>
      <c r="Q28" s="113"/>
      <c r="R28" s="114"/>
    </row>
    <row r="29" spans="1:18" s="6" customFormat="1" ht="15">
      <c r="A29" s="8"/>
      <c r="B29" s="55" t="s">
        <v>95</v>
      </c>
      <c r="C29" s="108">
        <v>18050300</v>
      </c>
      <c r="D29" s="109">
        <v>27600</v>
      </c>
      <c r="E29" s="109">
        <v>9355.97</v>
      </c>
      <c r="F29" s="171">
        <v>9812.49</v>
      </c>
      <c r="G29" s="109">
        <f t="shared" si="6"/>
        <v>456.52000000000044</v>
      </c>
      <c r="H29" s="111">
        <f t="shared" si="1"/>
        <v>104.87945130221668</v>
      </c>
      <c r="I29" s="110">
        <f t="shared" si="2"/>
        <v>-17787.510000000002</v>
      </c>
      <c r="J29" s="110">
        <f t="shared" si="3"/>
        <v>35.552499999999995</v>
      </c>
      <c r="K29" s="142">
        <f>F29-6631.29</f>
        <v>3181.2</v>
      </c>
      <c r="L29" s="142">
        <f>F29/6631.29*100</f>
        <v>147.97256642372753</v>
      </c>
      <c r="M29" s="111">
        <f>E29-лютий!E29</f>
        <v>3699.999999999999</v>
      </c>
      <c r="N29" s="179">
        <f>F29-лютий!F29</f>
        <v>1133.2199999999993</v>
      </c>
      <c r="O29" s="112">
        <f t="shared" si="4"/>
        <v>-2566.7799999999997</v>
      </c>
      <c r="P29" s="110">
        <f>N29/M29*100</f>
        <v>30.62756756756756</v>
      </c>
      <c r="Q29" s="113"/>
      <c r="R29" s="114"/>
    </row>
    <row r="30" spans="1:18" s="6" customFormat="1" ht="15">
      <c r="A30" s="8"/>
      <c r="B30" s="55" t="s">
        <v>96</v>
      </c>
      <c r="C30" s="108">
        <v>18050400</v>
      </c>
      <c r="D30" s="109">
        <v>81812</v>
      </c>
      <c r="E30" s="109">
        <v>27936.08</v>
      </c>
      <c r="F30" s="171">
        <v>28792.38</v>
      </c>
      <c r="G30" s="109">
        <f t="shared" si="6"/>
        <v>856.2999999999993</v>
      </c>
      <c r="H30" s="111">
        <f t="shared" si="1"/>
        <v>103.0652117261978</v>
      </c>
      <c r="I30" s="110">
        <f t="shared" si="2"/>
        <v>-53019.619999999995</v>
      </c>
      <c r="J30" s="110">
        <f t="shared" si="3"/>
        <v>35.19334571945436</v>
      </c>
      <c r="K30" s="142">
        <f>F30-18703.62</f>
        <v>10088.760000000002</v>
      </c>
      <c r="L30" s="142">
        <f>F30/18603.62*100</f>
        <v>154.76762049536597</v>
      </c>
      <c r="M30" s="111">
        <f>E30-лютий!E30</f>
        <v>7050</v>
      </c>
      <c r="N30" s="179">
        <f>F30-лютий!F30</f>
        <v>3884.7100000000028</v>
      </c>
      <c r="O30" s="112">
        <f t="shared" si="4"/>
        <v>-3165.2899999999972</v>
      </c>
      <c r="P30" s="110">
        <f>N30/M30*100</f>
        <v>55.10226950354614</v>
      </c>
      <c r="Q30" s="113"/>
      <c r="R30" s="114"/>
    </row>
    <row r="31" spans="1:18" s="6" customFormat="1" ht="15">
      <c r="A31" s="8"/>
      <c r="B31" s="55" t="s">
        <v>97</v>
      </c>
      <c r="C31" s="108">
        <v>18050500</v>
      </c>
      <c r="D31" s="109">
        <v>51</v>
      </c>
      <c r="E31" s="109">
        <v>3.19</v>
      </c>
      <c r="F31" s="171">
        <v>7.69</v>
      </c>
      <c r="G31" s="109">
        <f t="shared" si="6"/>
        <v>4.5</v>
      </c>
      <c r="H31" s="111">
        <f t="shared" si="1"/>
        <v>241.06583072100312</v>
      </c>
      <c r="I31" s="110">
        <f t="shared" si="2"/>
        <v>-43.31</v>
      </c>
      <c r="J31" s="110">
        <f t="shared" si="3"/>
        <v>15.07843137254902</v>
      </c>
      <c r="K31" s="142">
        <f>F31-4.54</f>
        <v>3.1500000000000004</v>
      </c>
      <c r="L31" s="142">
        <f>F31/4.54*100</f>
        <v>169.3832599118943</v>
      </c>
      <c r="M31" s="111">
        <f>E31-лютий!E31</f>
        <v>-0.0030000000000001137</v>
      </c>
      <c r="N31" s="179">
        <f>F31-лютий!F31</f>
        <v>0.20000000000000018</v>
      </c>
      <c r="O31" s="112">
        <f t="shared" si="4"/>
        <v>0.2030000000000003</v>
      </c>
      <c r="P31" s="110"/>
      <c r="Q31" s="113"/>
      <c r="R31" s="114"/>
    </row>
    <row r="32" spans="1:18" s="6" customFormat="1" ht="15" hidden="1">
      <c r="A32" s="8"/>
      <c r="B32" s="49" t="s">
        <v>145</v>
      </c>
      <c r="C32" s="48">
        <v>16010500</v>
      </c>
      <c r="D32" s="36">
        <v>0</v>
      </c>
      <c r="E32" s="36">
        <v>0</v>
      </c>
      <c r="F32" s="36">
        <v>0</v>
      </c>
      <c r="G32" s="36">
        <f t="shared" si="6"/>
        <v>0</v>
      </c>
      <c r="H32" s="32"/>
      <c r="I32" s="42">
        <f t="shared" si="2"/>
        <v>0</v>
      </c>
      <c r="J32" s="42"/>
      <c r="K32" s="132">
        <f>F32-1999.9</f>
        <v>-1999.9</v>
      </c>
      <c r="L32" s="132">
        <f>F32/1999.24*100</f>
        <v>0</v>
      </c>
      <c r="M32" s="32">
        <v>0</v>
      </c>
      <c r="N32" s="178">
        <f>F32-лютий!F32</f>
        <v>0</v>
      </c>
      <c r="O32" s="40">
        <f t="shared" si="4"/>
        <v>0</v>
      </c>
      <c r="P32" s="42"/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D34+D35+D36+D37+D38+D39+D41+D42+D43+D44+D45+D50+D51+D55</f>
        <v>42820</v>
      </c>
      <c r="E33" s="15">
        <f>E34+E35+E36+E37+E38+E39+E41+E42+E43+E44+E45+E50+E51+E55</f>
        <v>10510.031</v>
      </c>
      <c r="F33" s="15">
        <f>F34+F35+F36+F37+F38+F39+F41+F42+F43+F44+F45+F50+F51+F55-0.02</f>
        <v>10672.266999999998</v>
      </c>
      <c r="G33" s="15">
        <f>G34+G35+G36+G37+G38+G39+G41+G42+G43+G44+G45+G50+G51+G55</f>
        <v>162.25599999999977</v>
      </c>
      <c r="H33" s="38">
        <f>F33/E33*100</f>
        <v>101.54363008063436</v>
      </c>
      <c r="I33" s="28">
        <f>F33-D33</f>
        <v>-32147.733</v>
      </c>
      <c r="J33" s="28">
        <f>F33/D33*100</f>
        <v>24.92355674918262</v>
      </c>
      <c r="K33" s="15">
        <f>F33-7649.28</f>
        <v>3022.9869999999983</v>
      </c>
      <c r="L33" s="15">
        <f>F33/7649.28*100</f>
        <v>139.5198894536479</v>
      </c>
      <c r="M33" s="15">
        <f>M34+M35+M36+M37+M38+M39+M41+M42+M43+M44+M45+M50+M51+M55</f>
        <v>5575.005</v>
      </c>
      <c r="N33" s="15">
        <f>N34+N35+N36+N37+N38+N39+N41+N42+N43+N44+N45+N50+N51+N55</f>
        <v>5755.827</v>
      </c>
      <c r="O33" s="15">
        <f>O34+O35+O36+O37+O38+O39+O41+O42+O43+O44+O45+O50+O51+O55</f>
        <v>180.82200000000014</v>
      </c>
      <c r="P33" s="15">
        <f>N33/M33*100</f>
        <v>103.2434410372726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100</v>
      </c>
      <c r="E34" s="33">
        <v>51</v>
      </c>
      <c r="F34" s="170">
        <v>94.647</v>
      </c>
      <c r="G34" s="36">
        <f>F34-E34</f>
        <v>43.647000000000006</v>
      </c>
      <c r="H34" s="32">
        <f aca="true" t="shared" si="7" ref="H34:H56">F34/E34*100</f>
        <v>185.58235294117648</v>
      </c>
      <c r="I34" s="42">
        <f>F34-D34</f>
        <v>-5.352999999999994</v>
      </c>
      <c r="J34" s="42">
        <f>F34/D34*100</f>
        <v>94.647</v>
      </c>
      <c r="K34" s="42">
        <f>F34-(-3.69)</f>
        <v>98.337</v>
      </c>
      <c r="L34" s="42">
        <f>F34/(-3.69)*100</f>
        <v>-2564.959349593496</v>
      </c>
      <c r="M34" s="32">
        <f>E34-лютий!E34</f>
        <v>1</v>
      </c>
      <c r="N34" s="178">
        <f>F34-лютий!F34</f>
        <v>16.59700000000001</v>
      </c>
      <c r="O34" s="40">
        <f>N34-M34</f>
        <v>15.597000000000008</v>
      </c>
      <c r="P34" s="42">
        <f aca="true" t="shared" si="8" ref="P34:P56">N34/M34*100</f>
        <v>1659.7000000000007</v>
      </c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10000</v>
      </c>
      <c r="E35" s="33">
        <v>3537</v>
      </c>
      <c r="F35" s="170">
        <v>3537.38</v>
      </c>
      <c r="G35" s="36">
        <f aca="true" t="shared" si="9" ref="G35:G57">F35-E35</f>
        <v>0.38000000000010914</v>
      </c>
      <c r="H35" s="32">
        <f t="shared" si="7"/>
        <v>100.01074356799549</v>
      </c>
      <c r="I35" s="42">
        <f aca="true" t="shared" si="10" ref="I35:I57">F35-D35</f>
        <v>-6462.62</v>
      </c>
      <c r="J35" s="42">
        <f>F35/D35*100</f>
        <v>35.3738</v>
      </c>
      <c r="K35" s="42">
        <f>F35-0</f>
        <v>3537.38</v>
      </c>
      <c r="L35" s="42"/>
      <c r="M35" s="32">
        <f>E35-лютий!E35</f>
        <v>3105</v>
      </c>
      <c r="N35" s="178">
        <f>F35-лютий!F35</f>
        <v>3105.28</v>
      </c>
      <c r="O35" s="40">
        <f aca="true" t="shared" si="11" ref="O35:O57">N35-M35</f>
        <v>0.2800000000002001</v>
      </c>
      <c r="P35" s="42">
        <f t="shared" si="8"/>
        <v>100.00901771336555</v>
      </c>
      <c r="Q35" s="42"/>
      <c r="R35" s="100"/>
    </row>
    <row r="36" spans="1:18" s="6" customFormat="1" ht="15">
      <c r="A36" s="8"/>
      <c r="B36" s="144" t="s">
        <v>62</v>
      </c>
      <c r="C36" s="47">
        <v>21080500</v>
      </c>
      <c r="D36" s="33">
        <v>400</v>
      </c>
      <c r="E36" s="33">
        <v>51.44</v>
      </c>
      <c r="F36" s="170">
        <v>26.96</v>
      </c>
      <c r="G36" s="36">
        <f t="shared" si="9"/>
        <v>-24.479999999999997</v>
      </c>
      <c r="H36" s="32">
        <f t="shared" si="7"/>
        <v>52.41057542768274</v>
      </c>
      <c r="I36" s="42">
        <f t="shared" si="10"/>
        <v>-373.04</v>
      </c>
      <c r="J36" s="42">
        <f aca="true" t="shared" si="12" ref="J36:J56">F36/D36*100</f>
        <v>6.74</v>
      </c>
      <c r="K36" s="42">
        <f>F36-4.04</f>
        <v>22.92</v>
      </c>
      <c r="L36" s="42">
        <f>F36/4.04*100</f>
        <v>667.3267326732673</v>
      </c>
      <c r="M36" s="32">
        <f>E36-лютий!E36</f>
        <v>19.999999999999996</v>
      </c>
      <c r="N36" s="178">
        <f>F36-лютий!F36</f>
        <v>2.580000000000002</v>
      </c>
      <c r="O36" s="40">
        <f t="shared" si="11"/>
        <v>-17.419999999999995</v>
      </c>
      <c r="P36" s="42">
        <f t="shared" si="8"/>
        <v>12.900000000000011</v>
      </c>
      <c r="Q36" s="42"/>
      <c r="R36" s="100"/>
    </row>
    <row r="37" spans="1:18" s="6" customFormat="1" ht="30.7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70">
        <v>0.1</v>
      </c>
      <c r="G37" s="36">
        <f t="shared" si="9"/>
        <v>0.1</v>
      </c>
      <c r="H37" s="32"/>
      <c r="I37" s="42">
        <f t="shared" si="10"/>
        <v>0.1</v>
      </c>
      <c r="J37" s="42"/>
      <c r="K37" s="42">
        <f>F37-0</f>
        <v>0.1</v>
      </c>
      <c r="L37" s="42"/>
      <c r="M37" s="32">
        <f>E37-лютий!E37</f>
        <v>0</v>
      </c>
      <c r="N37" s="178">
        <f>F37-лютий!F37</f>
        <v>0</v>
      </c>
      <c r="O37" s="40">
        <f t="shared" si="11"/>
        <v>0</v>
      </c>
      <c r="P37" s="42"/>
      <c r="Q37" s="42"/>
      <c r="R37" s="100"/>
    </row>
    <row r="38" spans="1:18" s="6" customFormat="1" ht="15">
      <c r="A38" s="8"/>
      <c r="B38" s="145" t="s">
        <v>16</v>
      </c>
      <c r="C38" s="77">
        <v>21081100</v>
      </c>
      <c r="D38" s="33">
        <v>150</v>
      </c>
      <c r="E38" s="33">
        <v>30</v>
      </c>
      <c r="F38" s="170">
        <v>20.4</v>
      </c>
      <c r="G38" s="36">
        <f t="shared" si="9"/>
        <v>-9.600000000000001</v>
      </c>
      <c r="H38" s="32">
        <f t="shared" si="7"/>
        <v>68</v>
      </c>
      <c r="I38" s="42">
        <f t="shared" si="10"/>
        <v>-129.6</v>
      </c>
      <c r="J38" s="42">
        <f t="shared" si="12"/>
        <v>13.599999999999998</v>
      </c>
      <c r="K38" s="42">
        <f>F38-30.76</f>
        <v>-10.360000000000003</v>
      </c>
      <c r="L38" s="42">
        <f>F38/30.76*100</f>
        <v>66.31989596879063</v>
      </c>
      <c r="M38" s="32">
        <f>E38-лютий!E38</f>
        <v>10</v>
      </c>
      <c r="N38" s="178">
        <f>F38-лютий!F38</f>
        <v>16.75</v>
      </c>
      <c r="O38" s="40">
        <f t="shared" si="11"/>
        <v>6.75</v>
      </c>
      <c r="P38" s="42">
        <f t="shared" si="8"/>
        <v>167.5</v>
      </c>
      <c r="Q38" s="42"/>
      <c r="R38" s="100"/>
    </row>
    <row r="39" spans="1:18" s="6" customFormat="1" ht="30.75">
      <c r="A39" s="8"/>
      <c r="B39" s="145" t="s">
        <v>124</v>
      </c>
      <c r="C39" s="54">
        <v>22010300</v>
      </c>
      <c r="D39" s="33">
        <v>90</v>
      </c>
      <c r="E39" s="33">
        <v>16</v>
      </c>
      <c r="F39" s="170">
        <v>0</v>
      </c>
      <c r="G39" s="36">
        <f t="shared" si="9"/>
        <v>-16</v>
      </c>
      <c r="H39" s="32">
        <f t="shared" si="7"/>
        <v>0</v>
      </c>
      <c r="I39" s="42">
        <f t="shared" si="10"/>
        <v>-90</v>
      </c>
      <c r="J39" s="42">
        <f t="shared" si="12"/>
        <v>0</v>
      </c>
      <c r="K39" s="42">
        <f>F39-0</f>
        <v>0</v>
      </c>
      <c r="L39" s="42"/>
      <c r="M39" s="32">
        <f>E39-лютий!E39</f>
        <v>8</v>
      </c>
      <c r="N39" s="178">
        <f>F39-лютий!F39</f>
        <v>0</v>
      </c>
      <c r="O39" s="40">
        <f t="shared" si="11"/>
        <v>-8</v>
      </c>
      <c r="P39" s="42">
        <f t="shared" si="8"/>
        <v>0</v>
      </c>
      <c r="Q39" s="42"/>
      <c r="R39" s="100"/>
    </row>
    <row r="40" spans="1:18" s="6" customFormat="1" ht="15" hidden="1">
      <c r="A40" s="8"/>
      <c r="B40" s="145"/>
      <c r="C40" s="54"/>
      <c r="D40" s="33"/>
      <c r="E40" s="33"/>
      <c r="F40" s="170"/>
      <c r="G40" s="36"/>
      <c r="H40" s="32"/>
      <c r="I40" s="42"/>
      <c r="J40" s="42"/>
      <c r="K40" s="42"/>
      <c r="L40" s="42"/>
      <c r="M40" s="32">
        <f>E40-лютий!E40</f>
        <v>0</v>
      </c>
      <c r="N40" s="178">
        <f>F40-лютий!F40</f>
        <v>0</v>
      </c>
      <c r="O40" s="40"/>
      <c r="P40" s="42"/>
      <c r="Q40" s="42"/>
      <c r="R40" s="100"/>
    </row>
    <row r="41" spans="1:18" s="6" customFormat="1" ht="15">
      <c r="A41" s="8"/>
      <c r="B41" s="35" t="s">
        <v>81</v>
      </c>
      <c r="C41" s="77">
        <v>22012500</v>
      </c>
      <c r="D41" s="33">
        <v>9900</v>
      </c>
      <c r="E41" s="33">
        <v>2139.02</v>
      </c>
      <c r="F41" s="170">
        <v>2339.58</v>
      </c>
      <c r="G41" s="36">
        <f t="shared" si="9"/>
        <v>200.55999999999995</v>
      </c>
      <c r="H41" s="32">
        <f t="shared" si="7"/>
        <v>109.37625641648978</v>
      </c>
      <c r="I41" s="42">
        <f t="shared" si="10"/>
        <v>-7560.42</v>
      </c>
      <c r="J41" s="42">
        <f t="shared" si="12"/>
        <v>23.632121212121213</v>
      </c>
      <c r="K41" s="42">
        <f>F41-2528.58</f>
        <v>-189</v>
      </c>
      <c r="L41" s="42">
        <f>F41/2528.58*100</f>
        <v>92.52544906627436</v>
      </c>
      <c r="M41" s="32">
        <f>E41-лютий!E41</f>
        <v>800.0049999999999</v>
      </c>
      <c r="N41" s="178">
        <f>F41-лютий!F41</f>
        <v>988.4099999999999</v>
      </c>
      <c r="O41" s="40">
        <f t="shared" si="11"/>
        <v>188.40499999999997</v>
      </c>
      <c r="P41" s="42">
        <f t="shared" si="8"/>
        <v>123.5504778095137</v>
      </c>
      <c r="Q41" s="42"/>
      <c r="R41" s="100"/>
    </row>
    <row r="42" spans="1:18" s="6" customFormat="1" ht="30.75">
      <c r="A42" s="8"/>
      <c r="B42" s="35" t="s">
        <v>111</v>
      </c>
      <c r="C42" s="77">
        <v>22012600</v>
      </c>
      <c r="D42" s="33">
        <v>1500</v>
      </c>
      <c r="E42" s="33">
        <v>260</v>
      </c>
      <c r="F42" s="170">
        <v>1.2</v>
      </c>
      <c r="G42" s="36">
        <f t="shared" si="9"/>
        <v>-258.8</v>
      </c>
      <c r="H42" s="32">
        <f t="shared" si="7"/>
        <v>0.4615384615384615</v>
      </c>
      <c r="I42" s="42">
        <f t="shared" si="10"/>
        <v>-1498.8</v>
      </c>
      <c r="J42" s="42">
        <f t="shared" si="12"/>
        <v>0.07999999999999999</v>
      </c>
      <c r="K42" s="42">
        <f>F42-0</f>
        <v>1.2</v>
      </c>
      <c r="L42" s="42"/>
      <c r="M42" s="32">
        <f>E42-лютий!E42</f>
        <v>130</v>
      </c>
      <c r="N42" s="178">
        <f>F42-лютий!F42</f>
        <v>0</v>
      </c>
      <c r="O42" s="40">
        <f t="shared" si="11"/>
        <v>-130</v>
      </c>
      <c r="P42" s="42">
        <f t="shared" si="8"/>
        <v>0</v>
      </c>
      <c r="Q42" s="42"/>
      <c r="R42" s="100"/>
    </row>
    <row r="43" spans="1:18" s="6" customFormat="1" ht="30.75">
      <c r="A43" s="8"/>
      <c r="B43" s="35" t="s">
        <v>125</v>
      </c>
      <c r="C43" s="77">
        <v>22012900</v>
      </c>
      <c r="D43" s="33">
        <v>50</v>
      </c>
      <c r="E43" s="33">
        <v>8</v>
      </c>
      <c r="F43" s="170">
        <v>0</v>
      </c>
      <c r="G43" s="36">
        <f t="shared" si="9"/>
        <v>-8</v>
      </c>
      <c r="H43" s="32">
        <f t="shared" si="7"/>
        <v>0</v>
      </c>
      <c r="I43" s="42">
        <f t="shared" si="10"/>
        <v>-50</v>
      </c>
      <c r="J43" s="42">
        <f t="shared" si="12"/>
        <v>0</v>
      </c>
      <c r="K43" s="42">
        <f>F43-0</f>
        <v>0</v>
      </c>
      <c r="L43" s="42"/>
      <c r="M43" s="32">
        <f>E43-лютий!E43</f>
        <v>4</v>
      </c>
      <c r="N43" s="178">
        <f>F43-лютий!F43</f>
        <v>0</v>
      </c>
      <c r="O43" s="40">
        <f t="shared" si="11"/>
        <v>-4</v>
      </c>
      <c r="P43" s="42">
        <f t="shared" si="8"/>
        <v>0</v>
      </c>
      <c r="Q43" s="42"/>
      <c r="R43" s="100"/>
    </row>
    <row r="44" spans="1:18" s="6" customFormat="1" ht="30.75">
      <c r="A44" s="8"/>
      <c r="B44" s="145" t="s">
        <v>14</v>
      </c>
      <c r="C44" s="54">
        <v>22080400</v>
      </c>
      <c r="D44" s="33">
        <v>8500</v>
      </c>
      <c r="E44" s="33">
        <v>2016.23</v>
      </c>
      <c r="F44" s="170">
        <v>2001.53</v>
      </c>
      <c r="G44" s="36">
        <f t="shared" si="9"/>
        <v>-14.700000000000045</v>
      </c>
      <c r="H44" s="32">
        <f t="shared" si="7"/>
        <v>99.27091651250105</v>
      </c>
      <c r="I44" s="42">
        <f t="shared" si="10"/>
        <v>-6498.47</v>
      </c>
      <c r="J44" s="42">
        <f t="shared" si="12"/>
        <v>23.547411764705885</v>
      </c>
      <c r="K44" s="42">
        <f>F44-1946.14</f>
        <v>55.38999999999987</v>
      </c>
      <c r="L44" s="42">
        <f>F44/1946.14*100</f>
        <v>102.84614673147871</v>
      </c>
      <c r="M44" s="32">
        <f>E44-лютий!E44</f>
        <v>650</v>
      </c>
      <c r="N44" s="178">
        <f>F44-лютий!F44</f>
        <v>698.19</v>
      </c>
      <c r="O44" s="40">
        <f t="shared" si="11"/>
        <v>48.190000000000055</v>
      </c>
      <c r="P44" s="42">
        <f t="shared" si="8"/>
        <v>107.41384615384617</v>
      </c>
      <c r="Q44" s="42"/>
      <c r="R44" s="100"/>
    </row>
    <row r="45" spans="1:18" s="6" customFormat="1" ht="15">
      <c r="A45" s="8"/>
      <c r="B45" s="145" t="s">
        <v>15</v>
      </c>
      <c r="C45" s="48">
        <v>22090000</v>
      </c>
      <c r="D45" s="33">
        <v>7300</v>
      </c>
      <c r="E45" s="33">
        <v>1373.19</v>
      </c>
      <c r="F45" s="170">
        <v>1500.1</v>
      </c>
      <c r="G45" s="36">
        <f t="shared" si="9"/>
        <v>126.90999999999985</v>
      </c>
      <c r="H45" s="32">
        <f t="shared" si="7"/>
        <v>109.24198399347505</v>
      </c>
      <c r="I45" s="42">
        <f t="shared" si="10"/>
        <v>-5799.9</v>
      </c>
      <c r="J45" s="42">
        <f t="shared" si="12"/>
        <v>20.549315068493147</v>
      </c>
      <c r="K45" s="132">
        <f>F45-2181.98</f>
        <v>-681.8800000000001</v>
      </c>
      <c r="L45" s="132">
        <f>F45/2181.98*100</f>
        <v>68.74948441323934</v>
      </c>
      <c r="M45" s="32">
        <f>E45-лютий!E45</f>
        <v>477</v>
      </c>
      <c r="N45" s="178">
        <f>F45-лютий!F45</f>
        <v>534.9399999999999</v>
      </c>
      <c r="O45" s="40">
        <f t="shared" si="11"/>
        <v>57.93999999999994</v>
      </c>
      <c r="P45" s="132">
        <f t="shared" si="8"/>
        <v>112.14675052410901</v>
      </c>
      <c r="Q45" s="42"/>
      <c r="R45" s="100"/>
    </row>
    <row r="46" spans="1:18" s="6" customFormat="1" ht="15" hidden="1">
      <c r="A46" s="8"/>
      <c r="B46" s="55" t="s">
        <v>101</v>
      </c>
      <c r="C46" s="138">
        <v>22090100</v>
      </c>
      <c r="D46" s="109">
        <v>1100</v>
      </c>
      <c r="E46" s="109">
        <v>188.99</v>
      </c>
      <c r="F46" s="171">
        <v>163.68</v>
      </c>
      <c r="G46" s="36">
        <f t="shared" si="9"/>
        <v>-25.310000000000002</v>
      </c>
      <c r="H46" s="32">
        <f t="shared" si="7"/>
        <v>86.60775702418118</v>
      </c>
      <c r="I46" s="110">
        <f t="shared" si="10"/>
        <v>-936.3199999999999</v>
      </c>
      <c r="J46" s="42">
        <f t="shared" si="12"/>
        <v>14.88</v>
      </c>
      <c r="K46" s="110">
        <f>F46-216.18</f>
        <v>-52.5</v>
      </c>
      <c r="L46" s="110">
        <f>F46/216.18*100</f>
        <v>75.71468220927005</v>
      </c>
      <c r="M46" s="32">
        <f>E46-лютий!E46</f>
        <v>76.00000000000001</v>
      </c>
      <c r="N46" s="178">
        <f>F46-лютий!F46</f>
        <v>78.25</v>
      </c>
      <c r="O46" s="112">
        <f t="shared" si="11"/>
        <v>2.249999999999986</v>
      </c>
      <c r="P46" s="132">
        <f t="shared" si="8"/>
        <v>102.96052631578945</v>
      </c>
      <c r="Q46" s="42"/>
      <c r="R46" s="100"/>
    </row>
    <row r="47" spans="1:18" s="6" customFormat="1" ht="15" hidden="1">
      <c r="A47" s="8"/>
      <c r="B47" s="55" t="s">
        <v>98</v>
      </c>
      <c r="C47" s="138">
        <v>22090200</v>
      </c>
      <c r="D47" s="109">
        <v>45</v>
      </c>
      <c r="E47" s="109">
        <v>2.04</v>
      </c>
      <c r="F47" s="171">
        <v>0.12</v>
      </c>
      <c r="G47" s="36">
        <f t="shared" si="9"/>
        <v>-1.92</v>
      </c>
      <c r="H47" s="32">
        <f t="shared" si="7"/>
        <v>5.88235294117647</v>
      </c>
      <c r="I47" s="110">
        <f t="shared" si="10"/>
        <v>-44.88</v>
      </c>
      <c r="J47" s="42">
        <f t="shared" si="12"/>
        <v>0.26666666666666666</v>
      </c>
      <c r="K47" s="110">
        <f>F47-43.71</f>
        <v>-43.59</v>
      </c>
      <c r="L47" s="110">
        <f>F47/43.71*100</f>
        <v>0.27453671928620454</v>
      </c>
      <c r="M47" s="32">
        <f>E47-лютий!E47</f>
        <v>1.0050000000000001</v>
      </c>
      <c r="N47" s="178">
        <f>F47-лютий!F47</f>
        <v>0.039999999999999994</v>
      </c>
      <c r="O47" s="112">
        <f t="shared" si="11"/>
        <v>-0.9650000000000001</v>
      </c>
      <c r="P47" s="132">
        <f t="shared" si="8"/>
        <v>3.9800995024875614</v>
      </c>
      <c r="Q47" s="42"/>
      <c r="R47" s="100"/>
    </row>
    <row r="48" spans="1:18" s="6" customFormat="1" ht="15" hidden="1">
      <c r="A48" s="8"/>
      <c r="B48" s="55" t="s">
        <v>99</v>
      </c>
      <c r="C48" s="138">
        <v>22090300</v>
      </c>
      <c r="D48" s="109">
        <v>1</v>
      </c>
      <c r="E48" s="109">
        <v>0</v>
      </c>
      <c r="F48" s="171">
        <v>0</v>
      </c>
      <c r="G48" s="36">
        <f t="shared" si="9"/>
        <v>0</v>
      </c>
      <c r="H48" s="32" t="e">
        <f t="shared" si="7"/>
        <v>#DIV/0!</v>
      </c>
      <c r="I48" s="110">
        <f t="shared" si="10"/>
        <v>-1</v>
      </c>
      <c r="J48" s="42">
        <f t="shared" si="12"/>
        <v>0</v>
      </c>
      <c r="K48" s="110">
        <f>F48-0.53</f>
        <v>-0.53</v>
      </c>
      <c r="L48" s="110">
        <f>F48/0.53*100</f>
        <v>0</v>
      </c>
      <c r="M48" s="32">
        <f>E48-лютий!E48</f>
        <v>0</v>
      </c>
      <c r="N48" s="178">
        <f>F48-лютий!F48</f>
        <v>0</v>
      </c>
      <c r="O48" s="112">
        <f t="shared" si="11"/>
        <v>0</v>
      </c>
      <c r="P48" s="132" t="e">
        <f t="shared" si="8"/>
        <v>#DIV/0!</v>
      </c>
      <c r="Q48" s="42"/>
      <c r="R48" s="100"/>
    </row>
    <row r="49" spans="1:18" s="6" customFormat="1" ht="15" hidden="1">
      <c r="A49" s="8"/>
      <c r="B49" s="55" t="s">
        <v>100</v>
      </c>
      <c r="C49" s="138">
        <v>22090400</v>
      </c>
      <c r="D49" s="109">
        <v>6154</v>
      </c>
      <c r="E49" s="109">
        <v>1182.17</v>
      </c>
      <c r="F49" s="171">
        <v>1336.3</v>
      </c>
      <c r="G49" s="36">
        <f t="shared" si="9"/>
        <v>154.12999999999988</v>
      </c>
      <c r="H49" s="32">
        <f t="shared" si="7"/>
        <v>113.03788795181742</v>
      </c>
      <c r="I49" s="110">
        <f t="shared" si="10"/>
        <v>-4817.7</v>
      </c>
      <c r="J49" s="42">
        <f t="shared" si="12"/>
        <v>21.714332141696456</v>
      </c>
      <c r="K49" s="110">
        <f>F49-1921.57</f>
        <v>-585.27</v>
      </c>
      <c r="L49" s="110">
        <f>F49/1921.57*100</f>
        <v>69.54209318421915</v>
      </c>
      <c r="M49" s="32">
        <f>E49-лютий!E49</f>
        <v>400.0000000000001</v>
      </c>
      <c r="N49" s="178">
        <f>F49-лютий!F49</f>
        <v>457.65</v>
      </c>
      <c r="O49" s="112">
        <f t="shared" si="11"/>
        <v>57.649999999999864</v>
      </c>
      <c r="P49" s="132">
        <f t="shared" si="8"/>
        <v>114.41249999999997</v>
      </c>
      <c r="Q49" s="42"/>
      <c r="R49" s="100"/>
    </row>
    <row r="50" spans="1:18" s="6" customFormat="1" ht="46.5">
      <c r="A50" s="8"/>
      <c r="B50" s="13" t="s">
        <v>17</v>
      </c>
      <c r="C50" s="11" t="s">
        <v>18</v>
      </c>
      <c r="D50" s="33">
        <v>10</v>
      </c>
      <c r="E50" s="33">
        <v>0.171</v>
      </c>
      <c r="F50" s="170">
        <v>2.46</v>
      </c>
      <c r="G50" s="36">
        <f t="shared" si="9"/>
        <v>2.289</v>
      </c>
      <c r="H50" s="32">
        <f t="shared" si="7"/>
        <v>1438.5964912280701</v>
      </c>
      <c r="I50" s="42">
        <f t="shared" si="10"/>
        <v>-7.54</v>
      </c>
      <c r="J50" s="42">
        <f t="shared" si="12"/>
        <v>24.6</v>
      </c>
      <c r="K50" s="42">
        <f>F50-0</f>
        <v>2.46</v>
      </c>
      <c r="L50" s="42"/>
      <c r="M50" s="32">
        <f>E50-лютий!E50</f>
        <v>0</v>
      </c>
      <c r="N50" s="178">
        <f>F50-лютий!F50</f>
        <v>0</v>
      </c>
      <c r="O50" s="40">
        <f t="shared" si="11"/>
        <v>0</v>
      </c>
      <c r="P50" s="132"/>
      <c r="Q50" s="42"/>
      <c r="R50" s="100"/>
    </row>
    <row r="51" spans="1:18" s="6" customFormat="1" ht="15.75" customHeight="1">
      <c r="A51" s="8"/>
      <c r="B51" s="146" t="s">
        <v>13</v>
      </c>
      <c r="C51" s="11" t="s">
        <v>19</v>
      </c>
      <c r="D51" s="33">
        <v>4800</v>
      </c>
      <c r="E51" s="33">
        <v>1007.98</v>
      </c>
      <c r="F51" s="170">
        <v>1114.84</v>
      </c>
      <c r="G51" s="36">
        <f t="shared" si="9"/>
        <v>106.8599999999999</v>
      </c>
      <c r="H51" s="32">
        <f t="shared" si="7"/>
        <v>110.60140082144486</v>
      </c>
      <c r="I51" s="42">
        <f t="shared" si="10"/>
        <v>-3685.16</v>
      </c>
      <c r="J51" s="42">
        <f t="shared" si="12"/>
        <v>23.22583333333333</v>
      </c>
      <c r="K51" s="42">
        <f>F51-960.47</f>
        <v>154.3699999999999</v>
      </c>
      <c r="L51" s="42">
        <f>F51/960.47*100</f>
        <v>116.07233958374546</v>
      </c>
      <c r="M51" s="32">
        <f>E51-лютий!E51</f>
        <v>370</v>
      </c>
      <c r="N51" s="178">
        <f>F51-лютий!F51</f>
        <v>392.17999999999995</v>
      </c>
      <c r="O51" s="40">
        <f t="shared" si="11"/>
        <v>22.17999999999995</v>
      </c>
      <c r="P51" s="42">
        <f t="shared" si="8"/>
        <v>105.99459459459457</v>
      </c>
      <c r="Q51" s="42"/>
      <c r="R51" s="100"/>
    </row>
    <row r="52" spans="1:18" s="6" customFormat="1" ht="15" hidden="1">
      <c r="A52" s="8"/>
      <c r="B52" s="12" t="s">
        <v>22</v>
      </c>
      <c r="C52" s="66" t="s">
        <v>23</v>
      </c>
      <c r="D52" s="33">
        <v>0</v>
      </c>
      <c r="E52" s="33">
        <v>0</v>
      </c>
      <c r="F52" s="170">
        <v>0</v>
      </c>
      <c r="G52" s="36">
        <f t="shared" si="9"/>
        <v>0</v>
      </c>
      <c r="H52" s="32" t="e">
        <f t="shared" si="7"/>
        <v>#DIV/0!</v>
      </c>
      <c r="I52" s="42">
        <f t="shared" si="10"/>
        <v>0</v>
      </c>
      <c r="J52" s="42" t="e">
        <f t="shared" si="12"/>
        <v>#DIV/0!</v>
      </c>
      <c r="K52" s="42"/>
      <c r="L52" s="42">
        <f>F52</f>
        <v>0</v>
      </c>
      <c r="M52" s="32">
        <f>E52-лютий!E52</f>
        <v>0</v>
      </c>
      <c r="N52" s="178">
        <f>F52-лютий!F52</f>
        <v>0</v>
      </c>
      <c r="O52" s="40">
        <f t="shared" si="11"/>
        <v>0</v>
      </c>
      <c r="P52" s="42" t="e">
        <f t="shared" si="8"/>
        <v>#DIV/0!</v>
      </c>
      <c r="Q52" s="42"/>
      <c r="R52" s="100"/>
    </row>
    <row r="53" spans="1:18" s="6" customFormat="1" ht="30.75">
      <c r="A53" s="8"/>
      <c r="B53" s="55" t="s">
        <v>43</v>
      </c>
      <c r="C53" s="66"/>
      <c r="D53" s="109"/>
      <c r="E53" s="109"/>
      <c r="F53" s="171">
        <v>230.44</v>
      </c>
      <c r="G53" s="36"/>
      <c r="H53" s="32"/>
      <c r="I53" s="42"/>
      <c r="J53" s="42"/>
      <c r="K53" s="112">
        <f>F53-239.6</f>
        <v>-9.159999999999997</v>
      </c>
      <c r="L53" s="112">
        <f>F53/239.6*100</f>
        <v>96.17696160267111</v>
      </c>
      <c r="M53" s="111"/>
      <c r="N53" s="179">
        <f>F53-лютий!F53</f>
        <v>83.13999999999999</v>
      </c>
      <c r="O53" s="112"/>
      <c r="P53" s="42"/>
      <c r="Q53" s="42"/>
      <c r="R53" s="100"/>
    </row>
    <row r="54" spans="1:18" s="6" customFormat="1" ht="15" hidden="1">
      <c r="A54" s="8"/>
      <c r="B54" s="146" t="s">
        <v>20</v>
      </c>
      <c r="C54" s="143" t="s">
        <v>21</v>
      </c>
      <c r="D54" s="36">
        <v>0</v>
      </c>
      <c r="E54" s="36">
        <v>0</v>
      </c>
      <c r="F54" s="172">
        <v>0</v>
      </c>
      <c r="G54" s="36">
        <f t="shared" si="9"/>
        <v>0</v>
      </c>
      <c r="H54" s="32"/>
      <c r="I54" s="42">
        <f t="shared" si="10"/>
        <v>0</v>
      </c>
      <c r="J54" s="42"/>
      <c r="K54" s="112"/>
      <c r="L54" s="112"/>
      <c r="M54" s="32">
        <f>E54-лютий!E54</f>
        <v>0</v>
      </c>
      <c r="N54" s="178">
        <f>F54-лютий!F54</f>
        <v>0</v>
      </c>
      <c r="O54" s="40">
        <f t="shared" si="11"/>
        <v>0</v>
      </c>
      <c r="P54" s="42"/>
      <c r="Q54" s="42"/>
      <c r="R54" s="100"/>
    </row>
    <row r="55" spans="1:18" s="6" customFormat="1" ht="44.25" customHeight="1">
      <c r="A55" s="8"/>
      <c r="B55" s="146" t="s">
        <v>44</v>
      </c>
      <c r="C55" s="48">
        <v>24061900</v>
      </c>
      <c r="D55" s="33">
        <v>20</v>
      </c>
      <c r="E55" s="33">
        <v>20</v>
      </c>
      <c r="F55" s="170">
        <v>33.09</v>
      </c>
      <c r="G55" s="36">
        <f t="shared" si="9"/>
        <v>13.090000000000003</v>
      </c>
      <c r="H55" s="32">
        <f t="shared" si="7"/>
        <v>165.45000000000002</v>
      </c>
      <c r="I55" s="42">
        <f t="shared" si="10"/>
        <v>13.090000000000003</v>
      </c>
      <c r="J55" s="42">
        <f t="shared" si="12"/>
        <v>165.45000000000002</v>
      </c>
      <c r="K55" s="42">
        <f>F55-0</f>
        <v>33.09</v>
      </c>
      <c r="L55" s="42"/>
      <c r="M55" s="32">
        <f>E55-лютий!E55</f>
        <v>0</v>
      </c>
      <c r="N55" s="178">
        <f>F55-лютий!F55</f>
        <v>0.9000000000000057</v>
      </c>
      <c r="O55" s="40">
        <f t="shared" si="11"/>
        <v>0.9000000000000057</v>
      </c>
      <c r="P55" s="42"/>
      <c r="Q55" s="42"/>
      <c r="R55" s="100"/>
    </row>
    <row r="56" spans="1:18" s="6" customFormat="1" ht="15">
      <c r="A56" s="8"/>
      <c r="B56" s="12" t="s">
        <v>45</v>
      </c>
      <c r="C56" s="48">
        <v>31010200</v>
      </c>
      <c r="D56" s="33">
        <v>30</v>
      </c>
      <c r="E56" s="33">
        <v>5.3</v>
      </c>
      <c r="F56" s="170">
        <v>5.8</v>
      </c>
      <c r="G56" s="36">
        <f t="shared" si="9"/>
        <v>0.5</v>
      </c>
      <c r="H56" s="32">
        <f t="shared" si="7"/>
        <v>109.43396226415094</v>
      </c>
      <c r="I56" s="42">
        <f t="shared" si="10"/>
        <v>-24.2</v>
      </c>
      <c r="J56" s="42">
        <f t="shared" si="12"/>
        <v>19.333333333333332</v>
      </c>
      <c r="K56" s="42">
        <f>F56-6.1</f>
        <v>-0.2999999999999998</v>
      </c>
      <c r="L56" s="42">
        <f>F56/6.1*100</f>
        <v>95.08196721311477</v>
      </c>
      <c r="M56" s="32">
        <f>E56-лютий!E56</f>
        <v>2.3</v>
      </c>
      <c r="N56" s="178">
        <f>F56-лютий!F56</f>
        <v>2</v>
      </c>
      <c r="O56" s="40">
        <f t="shared" si="11"/>
        <v>-0.2999999999999998</v>
      </c>
      <c r="P56" s="42">
        <f t="shared" si="8"/>
        <v>86.95652173913044</v>
      </c>
      <c r="Q56" s="42"/>
      <c r="R56" s="100"/>
    </row>
    <row r="57" spans="1:18" s="6" customFormat="1" ht="30.75">
      <c r="A57" s="8"/>
      <c r="B57" s="12" t="s">
        <v>58</v>
      </c>
      <c r="C57" s="48">
        <v>31020000</v>
      </c>
      <c r="D57" s="33">
        <v>0.6</v>
      </c>
      <c r="E57" s="33">
        <v>0</v>
      </c>
      <c r="F57" s="170">
        <v>0</v>
      </c>
      <c r="G57" s="36">
        <f t="shared" si="9"/>
        <v>0</v>
      </c>
      <c r="H57" s="32"/>
      <c r="I57" s="42">
        <f t="shared" si="10"/>
        <v>-0.6</v>
      </c>
      <c r="J57" s="42"/>
      <c r="K57" s="42">
        <f>F57-0.02</f>
        <v>-0.02</v>
      </c>
      <c r="L57" s="42"/>
      <c r="M57" s="32">
        <f>E57-лютий!E57</f>
        <v>0</v>
      </c>
      <c r="N57" s="178">
        <f>F57-лютий!F57</f>
        <v>0</v>
      </c>
      <c r="O57" s="40">
        <f t="shared" si="11"/>
        <v>0</v>
      </c>
      <c r="P57" s="42"/>
      <c r="Q57" s="42"/>
      <c r="R57" s="100"/>
    </row>
    <row r="58" spans="1:20" s="6" customFormat="1" ht="17.25">
      <c r="A58" s="9"/>
      <c r="B58" s="14" t="s">
        <v>28</v>
      </c>
      <c r="C58" s="67"/>
      <c r="D58" s="15">
        <f>D8+D33+D56+D57</f>
        <v>883900.6</v>
      </c>
      <c r="E58" s="15">
        <f>E8+E33+E56+E57</f>
        <v>210829.511</v>
      </c>
      <c r="F58" s="15">
        <f>F8+F33+F56+F57</f>
        <v>220465.777</v>
      </c>
      <c r="G58" s="37">
        <f>F58-E58</f>
        <v>9636.266000000003</v>
      </c>
      <c r="H58" s="38">
        <f>F58/E58*100</f>
        <v>104.570643812763</v>
      </c>
      <c r="I58" s="28">
        <f>F58-D58</f>
        <v>-663434.823</v>
      </c>
      <c r="J58" s="28">
        <f>F58/D58*100</f>
        <v>24.942372140034752</v>
      </c>
      <c r="K58" s="28">
        <f>F58-147138.18</f>
        <v>73327.59700000001</v>
      </c>
      <c r="L58" s="28">
        <f>F58/147138.18*100</f>
        <v>149.83587332669197</v>
      </c>
      <c r="M58" s="15">
        <f>M8+M33+M56+M57</f>
        <v>83178.71500000001</v>
      </c>
      <c r="N58" s="15">
        <f>N8+N33+N56+N57</f>
        <v>75122.51200000002</v>
      </c>
      <c r="O58" s="41">
        <f>N58-M58</f>
        <v>-8056.202999999994</v>
      </c>
      <c r="P58" s="28">
        <f>N58/M58*100</f>
        <v>90.31458588895008</v>
      </c>
      <c r="Q58" s="28">
        <f>N58-34768</f>
        <v>40354.51200000002</v>
      </c>
      <c r="R58" s="128">
        <f>N58/34768</f>
        <v>2.1606797054763005</v>
      </c>
      <c r="T58" s="147"/>
    </row>
    <row r="59" spans="1:18" s="53" customFormat="1" ht="17.25" hidden="1">
      <c r="A59" s="50"/>
      <c r="B59" s="60"/>
      <c r="C59" s="68"/>
      <c r="D59" s="51"/>
      <c r="E59" s="51"/>
      <c r="F59" s="88"/>
      <c r="G59" s="82"/>
      <c r="H59" s="52"/>
      <c r="I59" s="59"/>
      <c r="J59" s="39"/>
      <c r="K59" s="39"/>
      <c r="L59" s="39"/>
      <c r="M59" s="52"/>
      <c r="N59" s="51"/>
      <c r="O59" s="85"/>
      <c r="P59" s="39"/>
      <c r="Q59" s="39"/>
      <c r="R59" s="102"/>
    </row>
    <row r="60" spans="1:18" s="53" customFormat="1" ht="17.25" hidden="1">
      <c r="A60" s="50"/>
      <c r="B60" s="61"/>
      <c r="C60" s="68"/>
      <c r="D60" s="62"/>
      <c r="E60" s="51"/>
      <c r="F60" s="88"/>
      <c r="G60" s="45"/>
      <c r="H60" s="52"/>
      <c r="I60" s="63"/>
      <c r="J60" s="39"/>
      <c r="K60" s="39"/>
      <c r="L60" s="39"/>
      <c r="M60" s="32"/>
      <c r="N60" s="51"/>
      <c r="O60" s="64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36"/>
      <c r="F61" s="121"/>
      <c r="G61" s="45"/>
      <c r="H61" s="52"/>
      <c r="I61" s="63"/>
      <c r="J61" s="39"/>
      <c r="K61" s="39"/>
      <c r="L61" s="39"/>
      <c r="M61" s="32"/>
      <c r="N61" s="62"/>
      <c r="O61" s="85"/>
      <c r="P61" s="39"/>
      <c r="Q61" s="39"/>
      <c r="R61" s="102"/>
    </row>
    <row r="62" spans="2:18" ht="15">
      <c r="B62" s="22" t="s">
        <v>138</v>
      </c>
      <c r="C62" s="69"/>
      <c r="D62" s="25"/>
      <c r="E62" s="25"/>
      <c r="F62" s="175"/>
      <c r="G62" s="36"/>
      <c r="H62" s="32"/>
      <c r="I62" s="43"/>
      <c r="J62" s="43"/>
      <c r="K62" s="43"/>
      <c r="L62" s="43"/>
      <c r="M62" s="33"/>
      <c r="N62" s="181"/>
      <c r="O62" s="40"/>
      <c r="P62" s="43"/>
      <c r="Q62" s="43"/>
      <c r="R62" s="103"/>
    </row>
    <row r="63" spans="2:18" ht="25.5" customHeight="1">
      <c r="B63" s="149" t="s">
        <v>112</v>
      </c>
      <c r="C63" s="150">
        <v>12020000</v>
      </c>
      <c r="D63" s="25">
        <v>0</v>
      </c>
      <c r="E63" s="25"/>
      <c r="F63" s="175">
        <v>0</v>
      </c>
      <c r="G63" s="36"/>
      <c r="H63" s="32"/>
      <c r="I63" s="43"/>
      <c r="J63" s="43"/>
      <c r="K63" s="43">
        <f>F63-0</f>
        <v>0</v>
      </c>
      <c r="L63" s="43"/>
      <c r="M63" s="33"/>
      <c r="N63" s="181">
        <f>F63-лютий!F63</f>
        <v>0</v>
      </c>
      <c r="O63" s="40"/>
      <c r="P63" s="43"/>
      <c r="Q63" s="43"/>
      <c r="R63" s="103"/>
    </row>
    <row r="64" spans="2:18" ht="30.75">
      <c r="B64" s="23" t="s">
        <v>63</v>
      </c>
      <c r="C64" s="78">
        <v>18041500</v>
      </c>
      <c r="D64" s="25">
        <v>0</v>
      </c>
      <c r="E64" s="25"/>
      <c r="F64" s="175">
        <v>-0.27</v>
      </c>
      <c r="G64" s="36">
        <f>F64-E64</f>
        <v>-0.27</v>
      </c>
      <c r="H64" s="32"/>
      <c r="I64" s="43">
        <f>F64-D64</f>
        <v>-0.27</v>
      </c>
      <c r="J64" s="43"/>
      <c r="K64" s="40">
        <f>F64-(-14.65)</f>
        <v>14.38</v>
      </c>
      <c r="L64" s="43">
        <f>F64/(-14.65)*100</f>
        <v>1.8430034129692834</v>
      </c>
      <c r="M64" s="32"/>
      <c r="N64" s="181">
        <f>F64-лютий!F64</f>
        <v>0</v>
      </c>
      <c r="O64" s="40">
        <f>N64-M64</f>
        <v>0</v>
      </c>
      <c r="P64" s="43"/>
      <c r="Q64" s="43"/>
      <c r="R64" s="103"/>
    </row>
    <row r="65" spans="2:18" ht="15">
      <c r="B65" s="29" t="s">
        <v>46</v>
      </c>
      <c r="C65" s="79"/>
      <c r="D65" s="30">
        <f>D64</f>
        <v>0</v>
      </c>
      <c r="E65" s="30">
        <f>E64</f>
        <v>0</v>
      </c>
      <c r="F65" s="176">
        <f>SUM(F63:F64)</f>
        <v>-0.27</v>
      </c>
      <c r="G65" s="45">
        <f>F65-E65</f>
        <v>-0.27</v>
      </c>
      <c r="H65" s="52"/>
      <c r="I65" s="44">
        <f>F65-D65</f>
        <v>-0.27</v>
      </c>
      <c r="J65" s="44"/>
      <c r="K65" s="44">
        <f>F65-(-14.65)</f>
        <v>14.38</v>
      </c>
      <c r="L65" s="44">
        <f>F65/(-14.65)*100</f>
        <v>1.8430034129692834</v>
      </c>
      <c r="M65" s="45">
        <f>M64</f>
        <v>0</v>
      </c>
      <c r="N65" s="182">
        <f>SUM(N63:N64)</f>
        <v>0</v>
      </c>
      <c r="O65" s="44">
        <f>N65-M65</f>
        <v>0</v>
      </c>
      <c r="P65" s="44"/>
      <c r="Q65" s="44"/>
      <c r="R65" s="104"/>
    </row>
    <row r="66" spans="2:18" ht="46.5" hidden="1">
      <c r="B66" s="23" t="s">
        <v>38</v>
      </c>
      <c r="C66" s="79">
        <v>21110000</v>
      </c>
      <c r="D66" s="25">
        <v>0</v>
      </c>
      <c r="E66" s="25"/>
      <c r="F66" s="175">
        <v>0</v>
      </c>
      <c r="G66" s="36" t="e">
        <f>#N/A</f>
        <v>#N/A</v>
      </c>
      <c r="H66" s="32" t="e">
        <f>F66/E66*100</f>
        <v>#DIV/0!</v>
      </c>
      <c r="I66" s="43" t="e">
        <f>#N/A</f>
        <v>#N/A</v>
      </c>
      <c r="J66" s="43" t="e">
        <f>#N/A</f>
        <v>#N/A</v>
      </c>
      <c r="K66" s="43"/>
      <c r="L66" s="43"/>
      <c r="M66" s="33">
        <v>0</v>
      </c>
      <c r="N66" s="181">
        <f>F66</f>
        <v>0</v>
      </c>
      <c r="O66" s="40" t="e">
        <f>#N/A</f>
        <v>#N/A</v>
      </c>
      <c r="P66" s="43"/>
      <c r="Q66" s="43"/>
      <c r="R66" s="103"/>
    </row>
    <row r="67" spans="2:18" ht="30.75">
      <c r="B67" s="23" t="s">
        <v>30</v>
      </c>
      <c r="C67" s="78">
        <v>31030000</v>
      </c>
      <c r="D67" s="25">
        <v>4200</v>
      </c>
      <c r="E67" s="25">
        <v>72</v>
      </c>
      <c r="F67" s="175">
        <v>0.15</v>
      </c>
      <c r="G67" s="36">
        <f aca="true" t="shared" si="13" ref="G67:G77">F67-E67</f>
        <v>-71.85</v>
      </c>
      <c r="H67" s="32"/>
      <c r="I67" s="43">
        <f aca="true" t="shared" si="14" ref="I67:I77">F67-D67</f>
        <v>-4199.85</v>
      </c>
      <c r="J67" s="43">
        <f>F67/D67*100</f>
        <v>0.003571428571428571</v>
      </c>
      <c r="K67" s="43">
        <f>F67-33.47</f>
        <v>-33.32</v>
      </c>
      <c r="L67" s="43">
        <f>F67/33.47*100</f>
        <v>0.44816253361219</v>
      </c>
      <c r="M67" s="32">
        <f>E67-лютий!E67</f>
        <v>72</v>
      </c>
      <c r="N67" s="178">
        <f>F67-лютий!F67</f>
        <v>0.04999999999999999</v>
      </c>
      <c r="O67" s="40">
        <f aca="true" t="shared" si="15" ref="O67:O80">N67-M67</f>
        <v>-71.95</v>
      </c>
      <c r="P67" s="43"/>
      <c r="Q67" s="43"/>
      <c r="R67" s="103"/>
    </row>
    <row r="68" spans="2:18" ht="15">
      <c r="B68" s="23" t="s">
        <v>31</v>
      </c>
      <c r="C68" s="78">
        <v>33010000</v>
      </c>
      <c r="D68" s="25">
        <v>7459</v>
      </c>
      <c r="E68" s="25">
        <v>1391.41</v>
      </c>
      <c r="F68" s="175">
        <v>318.64</v>
      </c>
      <c r="G68" s="36">
        <f t="shared" si="13"/>
        <v>-1072.77</v>
      </c>
      <c r="H68" s="32">
        <f>F68/E68*100</f>
        <v>22.90051099244651</v>
      </c>
      <c r="I68" s="43">
        <f t="shared" si="14"/>
        <v>-7140.36</v>
      </c>
      <c r="J68" s="43">
        <f>F68/D68*100</f>
        <v>4.271886311838047</v>
      </c>
      <c r="K68" s="43">
        <f>F68-1409.78</f>
        <v>-1091.1399999999999</v>
      </c>
      <c r="L68" s="43">
        <f>F68/1409.78*100</f>
        <v>22.60210813034658</v>
      </c>
      <c r="M68" s="32">
        <f>E68-лютий!E68</f>
        <v>259.01</v>
      </c>
      <c r="N68" s="178">
        <f>F68-лютий!F68</f>
        <v>-58.03000000000003</v>
      </c>
      <c r="O68" s="40">
        <f t="shared" si="15"/>
        <v>-317.04</v>
      </c>
      <c r="P68" s="43">
        <f>N68/M68*100</f>
        <v>-22.404540365236876</v>
      </c>
      <c r="Q68" s="43"/>
      <c r="R68" s="103"/>
    </row>
    <row r="69" spans="2:18" ht="30.75">
      <c r="B69" s="23" t="s">
        <v>55</v>
      </c>
      <c r="C69" s="78">
        <v>24170000</v>
      </c>
      <c r="D69" s="25">
        <v>6000</v>
      </c>
      <c r="E69" s="25">
        <v>886.85</v>
      </c>
      <c r="F69" s="175">
        <v>7957.09</v>
      </c>
      <c r="G69" s="36">
        <f t="shared" si="13"/>
        <v>7070.24</v>
      </c>
      <c r="H69" s="32">
        <f>F69/E69*100</f>
        <v>897.2306477983876</v>
      </c>
      <c r="I69" s="43">
        <f t="shared" si="14"/>
        <v>1957.0900000000001</v>
      </c>
      <c r="J69" s="43">
        <f>F69/D69*100</f>
        <v>132.61816666666667</v>
      </c>
      <c r="K69" s="43">
        <f>F69-11.06</f>
        <v>7946.03</v>
      </c>
      <c r="L69" s="43">
        <f>F69/11.06*100</f>
        <v>71944.75587703436</v>
      </c>
      <c r="M69" s="32">
        <f>E69-лютий!E69</f>
        <v>302</v>
      </c>
      <c r="N69" s="178">
        <f>F69-лютий!F69</f>
        <v>7310.25</v>
      </c>
      <c r="O69" s="40">
        <f t="shared" si="15"/>
        <v>7008.25</v>
      </c>
      <c r="P69" s="43">
        <f>N69/M69*100</f>
        <v>2420.612582781457</v>
      </c>
      <c r="Q69" s="43"/>
      <c r="R69" s="103"/>
    </row>
    <row r="70" spans="2:18" ht="15">
      <c r="B70" s="23" t="s">
        <v>113</v>
      </c>
      <c r="C70" s="78">
        <v>24110700</v>
      </c>
      <c r="D70" s="25">
        <v>12</v>
      </c>
      <c r="E70" s="25">
        <v>3</v>
      </c>
      <c r="F70" s="175">
        <v>3</v>
      </c>
      <c r="G70" s="36">
        <f t="shared" si="13"/>
        <v>0</v>
      </c>
      <c r="H70" s="32">
        <f>F70/E70*100</f>
        <v>100</v>
      </c>
      <c r="I70" s="43">
        <f t="shared" si="14"/>
        <v>-9</v>
      </c>
      <c r="J70" s="43">
        <f>F70/D70*100</f>
        <v>25</v>
      </c>
      <c r="K70" s="43">
        <f>F70-0</f>
        <v>3</v>
      </c>
      <c r="L70" s="43"/>
      <c r="M70" s="32">
        <f>E70-лютий!E70</f>
        <v>1</v>
      </c>
      <c r="N70" s="178">
        <f>F70-лютий!F70</f>
        <v>1</v>
      </c>
      <c r="O70" s="40">
        <f t="shared" si="15"/>
        <v>0</v>
      </c>
      <c r="P70" s="43">
        <f>N70/M70*100</f>
        <v>100</v>
      </c>
      <c r="Q70" s="43"/>
      <c r="R70" s="151"/>
    </row>
    <row r="71" spans="2:18" ht="33">
      <c r="B71" s="29" t="s">
        <v>52</v>
      </c>
      <c r="C71" s="70"/>
      <c r="D71" s="30">
        <f>D67+D68+D69+D70</f>
        <v>17671</v>
      </c>
      <c r="E71" s="30">
        <f>E67+E68+E69+E70</f>
        <v>2353.26</v>
      </c>
      <c r="F71" s="176">
        <f>F67+F68+F69+F70</f>
        <v>8278.880000000001</v>
      </c>
      <c r="G71" s="45">
        <f t="shared" si="13"/>
        <v>5925.620000000001</v>
      </c>
      <c r="H71" s="52">
        <f>F71/E71*100</f>
        <v>351.80473045902284</v>
      </c>
      <c r="I71" s="44">
        <f t="shared" si="14"/>
        <v>-9392.119999999999</v>
      </c>
      <c r="J71" s="44">
        <f>F71/D71*100</f>
        <v>46.85009337332353</v>
      </c>
      <c r="K71" s="44">
        <f>F71-1454.31</f>
        <v>6824.5700000000015</v>
      </c>
      <c r="L71" s="44">
        <f>F71/1454.31*100</f>
        <v>569.2651497961234</v>
      </c>
      <c r="M71" s="45">
        <f>M67+M68+M69+M70</f>
        <v>634.01</v>
      </c>
      <c r="N71" s="183">
        <f>N67+N68+N69+N70</f>
        <v>7253.2699999999995</v>
      </c>
      <c r="O71" s="44">
        <f t="shared" si="15"/>
        <v>6619.259999999999</v>
      </c>
      <c r="P71" s="44">
        <f>N71/M71*100</f>
        <v>1144.030851248403</v>
      </c>
      <c r="Q71" s="44"/>
      <c r="R71" s="129"/>
    </row>
    <row r="72" spans="2:18" ht="46.5">
      <c r="B72" s="12" t="s">
        <v>41</v>
      </c>
      <c r="C72" s="80">
        <v>24062100</v>
      </c>
      <c r="D72" s="25">
        <v>1</v>
      </c>
      <c r="E72" s="25">
        <v>0</v>
      </c>
      <c r="F72" s="175">
        <v>0.44</v>
      </c>
      <c r="G72" s="36">
        <f t="shared" si="13"/>
        <v>0.44</v>
      </c>
      <c r="H72" s="32"/>
      <c r="I72" s="43">
        <f t="shared" si="14"/>
        <v>-0.56</v>
      </c>
      <c r="J72" s="43"/>
      <c r="K72" s="43">
        <f>F72-0</f>
        <v>0.44</v>
      </c>
      <c r="L72" s="43"/>
      <c r="M72" s="32">
        <f>E72-лютий!E72</f>
        <v>0</v>
      </c>
      <c r="N72" s="178">
        <f>F72-лютий!F72</f>
        <v>0.43</v>
      </c>
      <c r="O72" s="40">
        <f t="shared" si="15"/>
        <v>0.43</v>
      </c>
      <c r="P72" s="43"/>
      <c r="Q72" s="43"/>
      <c r="R72" s="103"/>
    </row>
    <row r="73" spans="2:18" ht="15" hidden="1">
      <c r="B73" s="23" t="s">
        <v>53</v>
      </c>
      <c r="C73" s="78">
        <v>24061600</v>
      </c>
      <c r="D73" s="25">
        <v>0</v>
      </c>
      <c r="E73" s="25">
        <v>0</v>
      </c>
      <c r="F73" s="175">
        <v>0</v>
      </c>
      <c r="G73" s="36">
        <f t="shared" si="13"/>
        <v>0</v>
      </c>
      <c r="H73" s="32"/>
      <c r="I73" s="43">
        <f t="shared" si="14"/>
        <v>0</v>
      </c>
      <c r="J73" s="46"/>
      <c r="K73" s="40">
        <f>F73-0</f>
        <v>0</v>
      </c>
      <c r="L73" s="43">
        <f>F73/19.48*100</f>
        <v>0</v>
      </c>
      <c r="M73" s="32">
        <f>E73-лютий!E73</f>
        <v>0</v>
      </c>
      <c r="N73" s="178">
        <f>F73-лютий!F73</f>
        <v>0</v>
      </c>
      <c r="O73" s="40">
        <f t="shared" si="15"/>
        <v>0</v>
      </c>
      <c r="P73" s="46"/>
      <c r="Q73" s="46"/>
      <c r="R73" s="105"/>
    </row>
    <row r="74" spans="2:18" ht="15">
      <c r="B74" s="23" t="s">
        <v>47</v>
      </c>
      <c r="C74" s="78">
        <v>19010000</v>
      </c>
      <c r="D74" s="25">
        <v>9500</v>
      </c>
      <c r="E74" s="25">
        <v>2005.7</v>
      </c>
      <c r="F74" s="175">
        <v>2019</v>
      </c>
      <c r="G74" s="36">
        <f t="shared" si="13"/>
        <v>13.299999999999955</v>
      </c>
      <c r="H74" s="32">
        <f>F74/E74*100</f>
        <v>100.6631101361121</v>
      </c>
      <c r="I74" s="43">
        <f t="shared" si="14"/>
        <v>-7481</v>
      </c>
      <c r="J74" s="40">
        <f>F74/D74*100</f>
        <v>21.252631578947366</v>
      </c>
      <c r="K74" s="40">
        <f>F74-0</f>
        <v>2019</v>
      </c>
      <c r="L74" s="43"/>
      <c r="M74" s="32">
        <f>E74-лютий!E74</f>
        <v>0.7999999999999545</v>
      </c>
      <c r="N74" s="178">
        <f>F74-лютий!F74</f>
        <v>5.339999999999918</v>
      </c>
      <c r="O74" s="40">
        <f>N74-M74</f>
        <v>4.539999999999964</v>
      </c>
      <c r="P74" s="46">
        <f>N74/M74*100</f>
        <v>667.5000000000277</v>
      </c>
      <c r="Q74" s="46"/>
      <c r="R74" s="105"/>
    </row>
    <row r="75" spans="2:18" ht="30.75">
      <c r="B75" s="23" t="s">
        <v>51</v>
      </c>
      <c r="C75" s="78">
        <v>19050000</v>
      </c>
      <c r="D75" s="25">
        <v>0</v>
      </c>
      <c r="E75" s="25"/>
      <c r="F75" s="175">
        <v>0.4</v>
      </c>
      <c r="G75" s="36">
        <f t="shared" si="13"/>
        <v>0.4</v>
      </c>
      <c r="H75" s="32"/>
      <c r="I75" s="43">
        <f t="shared" si="14"/>
        <v>0.4</v>
      </c>
      <c r="J75" s="43"/>
      <c r="K75" s="43">
        <f>F75-0.58</f>
        <v>-0.17999999999999994</v>
      </c>
      <c r="L75" s="43">
        <f>F75/0.58*100</f>
        <v>68.96551724137932</v>
      </c>
      <c r="M75" s="32">
        <f>E75-лютий!E75</f>
        <v>0</v>
      </c>
      <c r="N75" s="178">
        <f>F75-лютий!F75</f>
        <v>0.24000000000000002</v>
      </c>
      <c r="O75" s="40">
        <f t="shared" si="15"/>
        <v>0.24000000000000002</v>
      </c>
      <c r="P75" s="43"/>
      <c r="Q75" s="43"/>
      <c r="R75" s="103"/>
    </row>
    <row r="76" spans="2:18" ht="30">
      <c r="B76" s="29" t="s">
        <v>48</v>
      </c>
      <c r="C76" s="78"/>
      <c r="D76" s="30">
        <f>D72+D75+D73+D74</f>
        <v>9501</v>
      </c>
      <c r="E76" s="30">
        <f>E72+E75+E73+E74</f>
        <v>2005.7</v>
      </c>
      <c r="F76" s="176">
        <f>F72+F75+F73+F74</f>
        <v>2019.84</v>
      </c>
      <c r="G76" s="30">
        <f>G72+G75+G73+G74</f>
        <v>14.139999999999954</v>
      </c>
      <c r="H76" s="52">
        <f>F76/E76*100</f>
        <v>100.70499077628759</v>
      </c>
      <c r="I76" s="44">
        <f t="shared" si="14"/>
        <v>-7481.16</v>
      </c>
      <c r="J76" s="44">
        <f>F76/D76*100</f>
        <v>21.25923586990843</v>
      </c>
      <c r="K76" s="44">
        <f>F76-0.58</f>
        <v>2019.26</v>
      </c>
      <c r="L76" s="44">
        <f>F76/0.58*100</f>
        <v>348248.275862069</v>
      </c>
      <c r="M76" s="45">
        <f>M72+M75+M73+M74</f>
        <v>0.7999999999999545</v>
      </c>
      <c r="N76" s="183">
        <f>N72+N75+N73+N74</f>
        <v>6.009999999999918</v>
      </c>
      <c r="O76" s="45">
        <f>O72+O75+O73+O74</f>
        <v>5.2099999999999635</v>
      </c>
      <c r="P76" s="44">
        <f>N76/M76*100</f>
        <v>751.2500000000324</v>
      </c>
      <c r="Q76" s="44"/>
      <c r="R76" s="102"/>
    </row>
    <row r="77" spans="2:18" ht="30.75">
      <c r="B77" s="12" t="s">
        <v>42</v>
      </c>
      <c r="C77" s="48">
        <v>24110900</v>
      </c>
      <c r="D77" s="25">
        <v>43</v>
      </c>
      <c r="E77" s="25">
        <v>12.71</v>
      </c>
      <c r="F77" s="175">
        <v>9.19</v>
      </c>
      <c r="G77" s="36">
        <f t="shared" si="13"/>
        <v>-3.5200000000000014</v>
      </c>
      <c r="H77" s="32">
        <f>F77/E77*100</f>
        <v>72.30527143981116</v>
      </c>
      <c r="I77" s="43">
        <f t="shared" si="14"/>
        <v>-33.81</v>
      </c>
      <c r="J77" s="43">
        <f>F77/D77*100</f>
        <v>21.37209302325581</v>
      </c>
      <c r="K77" s="43">
        <f>F77-12.95</f>
        <v>-3.76</v>
      </c>
      <c r="L77" s="43">
        <f>F77/12.95*100</f>
        <v>70.96525096525097</v>
      </c>
      <c r="M77" s="32">
        <f>E77-лютий!E77</f>
        <v>11.99</v>
      </c>
      <c r="N77" s="178">
        <f>F77-лютий!F77</f>
        <v>8.5</v>
      </c>
      <c r="O77" s="40">
        <f t="shared" si="15"/>
        <v>-3.49</v>
      </c>
      <c r="P77" s="43">
        <f>N77/M77</f>
        <v>0.7089241034195163</v>
      </c>
      <c r="Q77" s="43"/>
      <c r="R77" s="103"/>
    </row>
    <row r="78" spans="2:18" ht="15" hidden="1">
      <c r="B78" s="137"/>
      <c r="C78" s="48"/>
      <c r="D78" s="25"/>
      <c r="E78" s="25"/>
      <c r="F78" s="120"/>
      <c r="G78" s="36"/>
      <c r="H78" s="32"/>
      <c r="I78" s="43"/>
      <c r="J78" s="43"/>
      <c r="K78" s="43">
        <f>F78-0</f>
        <v>0</v>
      </c>
      <c r="L78" s="43"/>
      <c r="M78" s="32">
        <f>E78-лютий!E78</f>
        <v>0</v>
      </c>
      <c r="N78" s="178">
        <f>F78-лютий!F78</f>
        <v>0</v>
      </c>
      <c r="O78" s="40">
        <f t="shared" si="15"/>
        <v>0</v>
      </c>
      <c r="P78" s="43"/>
      <c r="Q78" s="43"/>
      <c r="R78" s="103"/>
    </row>
    <row r="79" spans="2:18" ht="23.25" customHeight="1">
      <c r="B79" s="14" t="s">
        <v>32</v>
      </c>
      <c r="C79" s="71"/>
      <c r="D79" s="24">
        <f>D65+D77+D71+D76</f>
        <v>27215</v>
      </c>
      <c r="E79" s="24">
        <f>E65+E77+E71+E76</f>
        <v>4371.67</v>
      </c>
      <c r="F79" s="24">
        <f>F65+F77+F71+F76+F78</f>
        <v>10307.640000000001</v>
      </c>
      <c r="G79" s="37">
        <f>F79-E79</f>
        <v>5935.970000000001</v>
      </c>
      <c r="H79" s="38">
        <f>F79/E79*100</f>
        <v>235.78266429076305</v>
      </c>
      <c r="I79" s="28">
        <f>F79-D79</f>
        <v>-16907.36</v>
      </c>
      <c r="J79" s="28">
        <f>F79/D79*100</f>
        <v>37.87484842917509</v>
      </c>
      <c r="K79" s="28">
        <f>F79-1453.19</f>
        <v>8854.45</v>
      </c>
      <c r="L79" s="28">
        <f>F79/1453.19*100</f>
        <v>709.3112394112264</v>
      </c>
      <c r="M79" s="24">
        <f>M65+M77+M71+M76</f>
        <v>646.8</v>
      </c>
      <c r="N79" s="165">
        <f>N65+N77+N71+N76+N78</f>
        <v>7267.78</v>
      </c>
      <c r="O79" s="28">
        <f t="shared" si="15"/>
        <v>6620.98</v>
      </c>
      <c r="P79" s="28">
        <f>N79/M79*100</f>
        <v>1123.65182436611</v>
      </c>
      <c r="Q79" s="28">
        <f>N79-8104.96</f>
        <v>-837.1800000000003</v>
      </c>
      <c r="R79" s="101">
        <f>N79/8104.96</f>
        <v>0.8967076950410613</v>
      </c>
    </row>
    <row r="80" spans="2:18" ht="17.25">
      <c r="B80" s="21" t="s">
        <v>33</v>
      </c>
      <c r="C80" s="71"/>
      <c r="D80" s="24">
        <f>D58+D79</f>
        <v>911115.6</v>
      </c>
      <c r="E80" s="24">
        <f>E58+E79</f>
        <v>215201.181</v>
      </c>
      <c r="F80" s="24">
        <f>F58+F79</f>
        <v>230773.41700000002</v>
      </c>
      <c r="G80" s="37">
        <f>F80-E80</f>
        <v>15572.236000000004</v>
      </c>
      <c r="H80" s="38">
        <f>F80/E80*100</f>
        <v>107.2361294336949</v>
      </c>
      <c r="I80" s="28">
        <f>F80-D80</f>
        <v>-680342.183</v>
      </c>
      <c r="J80" s="28">
        <f>F80/D80*100</f>
        <v>25.32866488072425</v>
      </c>
      <c r="K80" s="28">
        <f>K58+K79</f>
        <v>82182.047</v>
      </c>
      <c r="L80" s="28">
        <f>F80/139550.7*100</f>
        <v>165.3688709551439</v>
      </c>
      <c r="M80" s="15">
        <f>M58+M79</f>
        <v>83825.51500000001</v>
      </c>
      <c r="N80" s="15">
        <f>N58+N79</f>
        <v>82390.29200000002</v>
      </c>
      <c r="O80" s="28">
        <f t="shared" si="15"/>
        <v>-1435.2229999999981</v>
      </c>
      <c r="P80" s="28">
        <f>N80/M80*100</f>
        <v>98.28784469740508</v>
      </c>
      <c r="Q80" s="28">
        <f>N80-42872.96</f>
        <v>39517.33200000002</v>
      </c>
      <c r="R80" s="101">
        <f>N80/42872.96</f>
        <v>1.9217308998492293</v>
      </c>
    </row>
    <row r="81" spans="2:14" ht="15">
      <c r="B81" s="20" t="s">
        <v>35</v>
      </c>
      <c r="N81" s="26"/>
    </row>
    <row r="82" spans="2:14" ht="15">
      <c r="B82" s="4" t="s">
        <v>37</v>
      </c>
      <c r="C82" s="81">
        <v>0</v>
      </c>
      <c r="D82" s="4" t="s">
        <v>36</v>
      </c>
      <c r="N82" s="83"/>
    </row>
    <row r="83" spans="2:17" ht="30.75">
      <c r="B83" s="57" t="s">
        <v>54</v>
      </c>
      <c r="C83" s="31" t="e">
        <f>IF(O58&lt;0,ABS(O58/C82),0)</f>
        <v>#DIV/0!</v>
      </c>
      <c r="D83" s="4" t="s">
        <v>24</v>
      </c>
      <c r="G83" s="294"/>
      <c r="H83" s="294"/>
      <c r="I83" s="294"/>
      <c r="J83" s="294"/>
      <c r="K83" s="90"/>
      <c r="L83" s="90"/>
      <c r="P83" s="26"/>
      <c r="Q83" s="26"/>
    </row>
    <row r="84" spans="2:15" ht="34.5" customHeight="1">
      <c r="B84" s="58" t="s">
        <v>56</v>
      </c>
      <c r="C84" s="87">
        <v>42460</v>
      </c>
      <c r="D84" s="31">
        <v>3666.9</v>
      </c>
      <c r="G84" s="4" t="s">
        <v>59</v>
      </c>
      <c r="N84" s="286"/>
      <c r="O84" s="286"/>
    </row>
    <row r="85" spans="3:15" ht="15">
      <c r="C85" s="87">
        <v>42459</v>
      </c>
      <c r="D85" s="31">
        <v>7576.3</v>
      </c>
      <c r="F85" s="124" t="s">
        <v>59</v>
      </c>
      <c r="G85" s="280"/>
      <c r="H85" s="280"/>
      <c r="I85" s="131"/>
      <c r="J85" s="283"/>
      <c r="K85" s="283"/>
      <c r="L85" s="283"/>
      <c r="M85" s="283"/>
      <c r="N85" s="286"/>
      <c r="O85" s="286"/>
    </row>
    <row r="86" spans="3:15" ht="15.75" customHeight="1">
      <c r="C86" s="87">
        <v>42458</v>
      </c>
      <c r="D86" s="31">
        <v>9190.1</v>
      </c>
      <c r="F86" s="73"/>
      <c r="G86" s="280"/>
      <c r="H86" s="280"/>
      <c r="I86" s="131"/>
      <c r="J86" s="287"/>
      <c r="K86" s="287"/>
      <c r="L86" s="287"/>
      <c r="M86" s="287"/>
      <c r="N86" s="286"/>
      <c r="O86" s="286"/>
    </row>
    <row r="87" spans="3:13" ht="15.75" customHeight="1">
      <c r="C87" s="87"/>
      <c r="F87" s="73"/>
      <c r="G87" s="282"/>
      <c r="H87" s="282"/>
      <c r="I87" s="139"/>
      <c r="J87" s="283"/>
      <c r="K87" s="283"/>
      <c r="L87" s="283"/>
      <c r="M87" s="283"/>
    </row>
    <row r="88" spans="2:13" ht="18.75" customHeight="1">
      <c r="B88" s="284" t="s">
        <v>57</v>
      </c>
      <c r="C88" s="285"/>
      <c r="D88" s="148">
        <f>4343.7</f>
        <v>4343.7</v>
      </c>
      <c r="E88" s="74"/>
      <c r="F88" s="140" t="s">
        <v>137</v>
      </c>
      <c r="G88" s="280"/>
      <c r="H88" s="280"/>
      <c r="I88" s="141"/>
      <c r="J88" s="283"/>
      <c r="K88" s="283"/>
      <c r="L88" s="283"/>
      <c r="M88" s="283"/>
    </row>
    <row r="89" spans="6:12" ht="9.75" customHeight="1">
      <c r="F89" s="73"/>
      <c r="G89" s="280"/>
      <c r="H89" s="280"/>
      <c r="I89" s="73"/>
      <c r="J89" s="74"/>
      <c r="K89" s="74"/>
      <c r="L89" s="74"/>
    </row>
    <row r="90" spans="2:12" ht="22.5" customHeight="1" hidden="1">
      <c r="B90" s="278" t="s">
        <v>60</v>
      </c>
      <c r="C90" s="279"/>
      <c r="D90" s="86">
        <v>0</v>
      </c>
      <c r="E90" s="56" t="s">
        <v>24</v>
      </c>
      <c r="F90" s="73"/>
      <c r="G90" s="280"/>
      <c r="H90" s="280"/>
      <c r="I90" s="73"/>
      <c r="J90" s="74"/>
      <c r="K90" s="74"/>
      <c r="L90" s="74"/>
    </row>
    <row r="91" spans="4:15" ht="15">
      <c r="D91" s="84"/>
      <c r="F91" s="73"/>
      <c r="G91" s="74"/>
      <c r="H91" s="74"/>
      <c r="I91" s="74"/>
      <c r="N91" s="280"/>
      <c r="O91" s="280"/>
    </row>
    <row r="92" spans="4:15" ht="15">
      <c r="D92" s="83"/>
      <c r="I92" s="31"/>
      <c r="N92" s="281"/>
      <c r="O92" s="281"/>
    </row>
    <row r="93" spans="14:15" ht="15">
      <c r="N93" s="280"/>
      <c r="O93" s="280"/>
    </row>
    <row r="97" ht="15">
      <c r="E97" s="4" t="s">
        <v>59</v>
      </c>
    </row>
  </sheetData>
  <sheetProtection/>
  <mergeCells count="39">
    <mergeCell ref="B90:C90"/>
    <mergeCell ref="G90:H90"/>
    <mergeCell ref="N91:O91"/>
    <mergeCell ref="N92:O92"/>
    <mergeCell ref="N93:O93"/>
    <mergeCell ref="G87:H87"/>
    <mergeCell ref="J87:M87"/>
    <mergeCell ref="B88:C88"/>
    <mergeCell ref="G88:H88"/>
    <mergeCell ref="J88:M88"/>
    <mergeCell ref="G89:H89"/>
    <mergeCell ref="G85:H85"/>
    <mergeCell ref="J85:M85"/>
    <mergeCell ref="N85:O85"/>
    <mergeCell ref="G86:H86"/>
    <mergeCell ref="J86:M86"/>
    <mergeCell ref="N86:O86"/>
    <mergeCell ref="O4:O5"/>
    <mergeCell ref="P4:P5"/>
    <mergeCell ref="K5:L5"/>
    <mergeCell ref="Q5:R5"/>
    <mergeCell ref="G83:J83"/>
    <mergeCell ref="N84:O84"/>
    <mergeCell ref="F4:F5"/>
    <mergeCell ref="G4:G5"/>
    <mergeCell ref="H4:H5"/>
    <mergeCell ref="I4:I5"/>
    <mergeCell ref="J4:J5"/>
    <mergeCell ref="N4:N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" right="0" top="0" bottom="0" header="0" footer="0"/>
  <pageSetup fitToHeight="2" fitToWidth="1" orientation="portrait" paperSize="9" scale="5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7"/>
  <sheetViews>
    <sheetView zoomScale="81" zoomScaleNormal="81" zoomScalePageLayoutView="0" workbookViewId="0" topLeftCell="B1">
      <pane xSplit="2" ySplit="8" topLeftCell="D51" activePane="bottomRight" state="frozen"/>
      <selection pane="topLeft" activeCell="B1" sqref="B1"/>
      <selection pane="topRight" activeCell="D1" sqref="D1"/>
      <selection pane="bottomLeft" activeCell="B9" sqref="B9"/>
      <selection pane="bottomRight" activeCell="U35" sqref="U35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1.253906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95" hidden="1" customWidth="1"/>
    <col min="19" max="16384" width="9.125" style="4" customWidth="1"/>
  </cols>
  <sheetData>
    <row r="1" spans="1:18" s="1" customFormat="1" ht="26.25" customHeight="1">
      <c r="A1" s="301" t="s">
        <v>139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301"/>
      <c r="O1" s="301"/>
      <c r="P1" s="301"/>
      <c r="Q1" s="92"/>
      <c r="R1" s="93"/>
    </row>
    <row r="2" spans="2:18" s="1" customFormat="1" ht="15.75" customHeight="1">
      <c r="B2" s="319"/>
      <c r="C2" s="319"/>
      <c r="D2" s="319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303"/>
      <c r="B3" s="305"/>
      <c r="C3" s="306" t="s">
        <v>0</v>
      </c>
      <c r="D3" s="307" t="s">
        <v>121</v>
      </c>
      <c r="E3" s="34"/>
      <c r="F3" s="308" t="s">
        <v>26</v>
      </c>
      <c r="G3" s="309"/>
      <c r="H3" s="309"/>
      <c r="I3" s="309"/>
      <c r="J3" s="310"/>
      <c r="K3" s="89"/>
      <c r="L3" s="89"/>
      <c r="M3" s="320" t="s">
        <v>128</v>
      </c>
      <c r="N3" s="312" t="s">
        <v>119</v>
      </c>
      <c r="O3" s="312"/>
      <c r="P3" s="312"/>
      <c r="Q3" s="312"/>
      <c r="R3" s="312"/>
    </row>
    <row r="4" spans="1:18" ht="22.5" customHeight="1">
      <c r="A4" s="303"/>
      <c r="B4" s="305"/>
      <c r="C4" s="306"/>
      <c r="D4" s="307"/>
      <c r="E4" s="313" t="s">
        <v>127</v>
      </c>
      <c r="F4" s="317" t="s">
        <v>34</v>
      </c>
      <c r="G4" s="288" t="s">
        <v>116</v>
      </c>
      <c r="H4" s="297" t="s">
        <v>117</v>
      </c>
      <c r="I4" s="288" t="s">
        <v>122</v>
      </c>
      <c r="J4" s="297" t="s">
        <v>123</v>
      </c>
      <c r="K4" s="91" t="s">
        <v>65</v>
      </c>
      <c r="L4" s="96" t="s">
        <v>64</v>
      </c>
      <c r="M4" s="297"/>
      <c r="N4" s="299" t="s">
        <v>140</v>
      </c>
      <c r="O4" s="288" t="s">
        <v>50</v>
      </c>
      <c r="P4" s="290" t="s">
        <v>49</v>
      </c>
      <c r="Q4" s="97" t="s">
        <v>65</v>
      </c>
      <c r="R4" s="98" t="s">
        <v>64</v>
      </c>
    </row>
    <row r="5" spans="1:18" ht="92.25" customHeight="1">
      <c r="A5" s="304"/>
      <c r="B5" s="305"/>
      <c r="C5" s="306"/>
      <c r="D5" s="307"/>
      <c r="E5" s="314"/>
      <c r="F5" s="318"/>
      <c r="G5" s="289"/>
      <c r="H5" s="298"/>
      <c r="I5" s="289"/>
      <c r="J5" s="298"/>
      <c r="K5" s="291" t="s">
        <v>118</v>
      </c>
      <c r="L5" s="293"/>
      <c r="M5" s="298"/>
      <c r="N5" s="300"/>
      <c r="O5" s="289"/>
      <c r="P5" s="290"/>
      <c r="Q5" s="291" t="s">
        <v>120</v>
      </c>
      <c r="R5" s="293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77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77"/>
      <c r="O7" s="10"/>
      <c r="P7" s="10"/>
      <c r="Q7" s="10"/>
      <c r="R7" s="99"/>
    </row>
    <row r="8" spans="1:18" s="6" customFormat="1" ht="17.25">
      <c r="A8" s="7"/>
      <c r="B8" s="16" t="s">
        <v>9</v>
      </c>
      <c r="C8" s="75" t="s">
        <v>10</v>
      </c>
      <c r="D8" s="15">
        <f>D9+D15+D18+D19+D20+D32+D17</f>
        <v>841050</v>
      </c>
      <c r="E8" s="15">
        <f>E9+E15+E18+E19+E20+E32+E17</f>
        <v>122712.76999999999</v>
      </c>
      <c r="F8" s="15">
        <f>F9+F15+F18+F19+F20+F32+F17-0.01</f>
        <v>140423.01499999998</v>
      </c>
      <c r="G8" s="15">
        <f aca="true" t="shared" si="0" ref="G8:G21">F8-E8</f>
        <v>17710.244999999995</v>
      </c>
      <c r="H8" s="38">
        <f>F8/E8*100</f>
        <v>114.43227546733725</v>
      </c>
      <c r="I8" s="28">
        <f>F8-D8</f>
        <v>-700626.985</v>
      </c>
      <c r="J8" s="28">
        <f>F8/D8*100</f>
        <v>16.69615540098686</v>
      </c>
      <c r="K8" s="15">
        <f>K9+K15+K18+K19+K20+K32</f>
        <v>49068.56500000001</v>
      </c>
      <c r="L8" s="15">
        <f>F8/91354.4*100</f>
        <v>153.71237181788726</v>
      </c>
      <c r="M8" s="15">
        <f>M9+M15+M18+M19+M20+M32+M17</f>
        <v>62152</v>
      </c>
      <c r="N8" s="15">
        <f>N9+N15+N18+N19+N20+N32+N17</f>
        <v>79842.39500000002</v>
      </c>
      <c r="O8" s="15">
        <f>N8-M8</f>
        <v>17690.39500000002</v>
      </c>
      <c r="P8" s="15">
        <f>N8/M8*100</f>
        <v>128.46311462221652</v>
      </c>
      <c r="Q8" s="15" t="e">
        <f>#N/A</f>
        <v>#N/A</v>
      </c>
      <c r="R8" s="15" t="e">
        <f>#N/A</f>
        <v>#N/A</v>
      </c>
    </row>
    <row r="9" spans="1:18" s="6" customFormat="1" ht="15">
      <c r="A9" s="8"/>
      <c r="B9" s="13" t="s">
        <v>82</v>
      </c>
      <c r="C9" s="48">
        <v>11010000</v>
      </c>
      <c r="D9" s="33">
        <v>459700</v>
      </c>
      <c r="E9" s="33">
        <v>60590.265</v>
      </c>
      <c r="F9" s="170">
        <v>70324.6</v>
      </c>
      <c r="G9" s="36">
        <f t="shared" si="0"/>
        <v>9734.335000000006</v>
      </c>
      <c r="H9" s="32">
        <f>F9/E9*100</f>
        <v>116.0658399497015</v>
      </c>
      <c r="I9" s="42">
        <f>F9-D9</f>
        <v>-389375.4</v>
      </c>
      <c r="J9" s="42">
        <f>F9/D9*100</f>
        <v>15.297933434848815</v>
      </c>
      <c r="K9" s="106">
        <f>F9-49687.49</f>
        <v>20637.110000000008</v>
      </c>
      <c r="L9" s="106">
        <f>F9/49687.49*100</f>
        <v>141.53381464831492</v>
      </c>
      <c r="M9" s="32">
        <v>30377</v>
      </c>
      <c r="N9" s="178">
        <f>F9-січень!F9</f>
        <v>40111.33</v>
      </c>
      <c r="O9" s="40">
        <f>N9-M9</f>
        <v>9734.330000000002</v>
      </c>
      <c r="P9" s="42">
        <f>N9/M9*100</f>
        <v>132.04506699147382</v>
      </c>
      <c r="Q9" s="106"/>
      <c r="R9" s="107"/>
    </row>
    <row r="10" spans="1:18" s="6" customFormat="1" ht="15" hidden="1">
      <c r="A10" s="8"/>
      <c r="B10" s="136" t="s">
        <v>93</v>
      </c>
      <c r="C10" s="108">
        <v>11010100</v>
      </c>
      <c r="D10" s="109">
        <v>411440</v>
      </c>
      <c r="E10" s="109">
        <v>54373.84</v>
      </c>
      <c r="F10" s="171">
        <v>62213.95</v>
      </c>
      <c r="G10" s="109">
        <f t="shared" si="0"/>
        <v>7840.110000000001</v>
      </c>
      <c r="H10" s="32">
        <f aca="true" t="shared" si="1" ref="H10:H18">F10/E10*100</f>
        <v>114.41890070666336</v>
      </c>
      <c r="I10" s="110">
        <f aca="true" t="shared" si="2" ref="I10:I32">F10-D10</f>
        <v>-349226.05</v>
      </c>
      <c r="J10" s="110">
        <f aca="true" t="shared" si="3" ref="J10:J31">F10/D10*100</f>
        <v>15.121026152051332</v>
      </c>
      <c r="K10" s="112">
        <f>F10-43781.83</f>
        <v>18432.119999999995</v>
      </c>
      <c r="L10" s="112">
        <f>F10/43781.83*100</f>
        <v>142.0999304962812</v>
      </c>
      <c r="M10" s="111">
        <v>27490</v>
      </c>
      <c r="N10" s="179">
        <f>F10-січень!F10</f>
        <v>35330.11</v>
      </c>
      <c r="O10" s="112">
        <f aca="true" t="shared" si="4" ref="O10:O32">N10-M10</f>
        <v>7840.110000000001</v>
      </c>
      <c r="P10" s="42">
        <f aca="true" t="shared" si="5" ref="P10:P18">N10/M10*100</f>
        <v>128.51986176791561</v>
      </c>
      <c r="Q10" s="42"/>
      <c r="R10" s="100"/>
    </row>
    <row r="11" spans="1:18" s="6" customFormat="1" ht="15" hidden="1">
      <c r="A11" s="8"/>
      <c r="B11" s="136" t="s">
        <v>89</v>
      </c>
      <c r="C11" s="108">
        <v>11010200</v>
      </c>
      <c r="D11" s="109">
        <v>23000</v>
      </c>
      <c r="E11" s="109">
        <v>3934.94</v>
      </c>
      <c r="F11" s="171">
        <v>5319.16</v>
      </c>
      <c r="G11" s="109">
        <f t="shared" si="0"/>
        <v>1384.2199999999998</v>
      </c>
      <c r="H11" s="32">
        <f t="shared" si="1"/>
        <v>135.17766471661574</v>
      </c>
      <c r="I11" s="110">
        <f t="shared" si="2"/>
        <v>-17680.84</v>
      </c>
      <c r="J11" s="110">
        <f t="shared" si="3"/>
        <v>23.12678260869565</v>
      </c>
      <c r="K11" s="112">
        <f>F11-3453.77</f>
        <v>1865.3899999999999</v>
      </c>
      <c r="L11" s="112">
        <f>F11/3453.77*100</f>
        <v>154.0102554599756</v>
      </c>
      <c r="M11" s="111">
        <v>1250</v>
      </c>
      <c r="N11" s="179">
        <f>F11-січень!F11</f>
        <v>2634.22</v>
      </c>
      <c r="O11" s="112">
        <f t="shared" si="4"/>
        <v>1384.2199999999998</v>
      </c>
      <c r="P11" s="42">
        <f t="shared" si="5"/>
        <v>210.7376</v>
      </c>
      <c r="Q11" s="42"/>
      <c r="R11" s="100"/>
    </row>
    <row r="12" spans="1:18" s="6" customFormat="1" ht="15" hidden="1">
      <c r="A12" s="8"/>
      <c r="B12" s="136" t="s">
        <v>92</v>
      </c>
      <c r="C12" s="108">
        <v>11010400</v>
      </c>
      <c r="D12" s="109">
        <v>6500</v>
      </c>
      <c r="E12" s="109">
        <v>625.61</v>
      </c>
      <c r="F12" s="171">
        <v>822.03</v>
      </c>
      <c r="G12" s="109">
        <f t="shared" si="0"/>
        <v>196.41999999999996</v>
      </c>
      <c r="H12" s="32">
        <f t="shared" si="1"/>
        <v>131.39655696040663</v>
      </c>
      <c r="I12" s="110">
        <f t="shared" si="2"/>
        <v>-5677.97</v>
      </c>
      <c r="J12" s="110">
        <f t="shared" si="3"/>
        <v>12.646615384615384</v>
      </c>
      <c r="K12" s="112">
        <f>F12-805.51</f>
        <v>16.519999999999982</v>
      </c>
      <c r="L12" s="112">
        <f>F12/805.51*100</f>
        <v>102.05087460118433</v>
      </c>
      <c r="M12" s="111">
        <v>192</v>
      </c>
      <c r="N12" s="179">
        <f>F12-січень!F12</f>
        <v>388.41999999999996</v>
      </c>
      <c r="O12" s="112">
        <f t="shared" si="4"/>
        <v>196.41999999999996</v>
      </c>
      <c r="P12" s="42">
        <f t="shared" si="5"/>
        <v>202.30208333333331</v>
      </c>
      <c r="Q12" s="42"/>
      <c r="R12" s="100"/>
    </row>
    <row r="13" spans="1:18" s="6" customFormat="1" ht="15" hidden="1">
      <c r="A13" s="8"/>
      <c r="B13" s="136" t="s">
        <v>90</v>
      </c>
      <c r="C13" s="108">
        <v>11010500</v>
      </c>
      <c r="D13" s="109">
        <v>12400</v>
      </c>
      <c r="E13" s="109">
        <v>1029.835</v>
      </c>
      <c r="F13" s="171">
        <v>1514.49</v>
      </c>
      <c r="G13" s="109">
        <f t="shared" si="0"/>
        <v>484.655</v>
      </c>
      <c r="H13" s="32">
        <f t="shared" si="1"/>
        <v>147.06142246087964</v>
      </c>
      <c r="I13" s="110">
        <f t="shared" si="2"/>
        <v>-10885.51</v>
      </c>
      <c r="J13" s="110">
        <f t="shared" si="3"/>
        <v>12.213629032258066</v>
      </c>
      <c r="K13" s="112">
        <f>F13-707.92</f>
        <v>806.57</v>
      </c>
      <c r="L13" s="112">
        <f>F13/707.92*100</f>
        <v>213.93519041699628</v>
      </c>
      <c r="M13" s="111">
        <v>820</v>
      </c>
      <c r="N13" s="179">
        <f>F13-січень!F13</f>
        <v>1304.65</v>
      </c>
      <c r="O13" s="112">
        <f t="shared" si="4"/>
        <v>484.6500000000001</v>
      </c>
      <c r="P13" s="42">
        <f t="shared" si="5"/>
        <v>159.10365853658536</v>
      </c>
      <c r="Q13" s="42"/>
      <c r="R13" s="100"/>
    </row>
    <row r="14" spans="1:18" s="6" customFormat="1" ht="15" hidden="1">
      <c r="A14" s="8"/>
      <c r="B14" s="136" t="s">
        <v>91</v>
      </c>
      <c r="C14" s="108">
        <v>11010900</v>
      </c>
      <c r="D14" s="109">
        <v>6360</v>
      </c>
      <c r="E14" s="109">
        <v>626.04</v>
      </c>
      <c r="F14" s="171">
        <v>454.97</v>
      </c>
      <c r="G14" s="109">
        <f t="shared" si="0"/>
        <v>-171.06999999999994</v>
      </c>
      <c r="H14" s="32">
        <f t="shared" si="1"/>
        <v>72.67427001469555</v>
      </c>
      <c r="I14" s="110">
        <f t="shared" si="2"/>
        <v>-5905.03</v>
      </c>
      <c r="J14" s="110">
        <f t="shared" si="3"/>
        <v>7.153616352201259</v>
      </c>
      <c r="K14" s="112">
        <f>F14-938.46</f>
        <v>-483.49</v>
      </c>
      <c r="L14" s="112">
        <f>F14/938.46*100</f>
        <v>48.48048931227756</v>
      </c>
      <c r="M14" s="111">
        <v>625</v>
      </c>
      <c r="N14" s="179">
        <f>F14-січень!F14</f>
        <v>453.93</v>
      </c>
      <c r="O14" s="112">
        <f t="shared" si="4"/>
        <v>-171.07</v>
      </c>
      <c r="P14" s="42">
        <f t="shared" si="5"/>
        <v>72.6288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33">
        <v>500</v>
      </c>
      <c r="E15" s="33">
        <v>0</v>
      </c>
      <c r="F15" s="170">
        <v>85.135</v>
      </c>
      <c r="G15" s="36">
        <f t="shared" si="0"/>
        <v>85.135</v>
      </c>
      <c r="H15" s="32"/>
      <c r="I15" s="42">
        <f t="shared" si="2"/>
        <v>-414.865</v>
      </c>
      <c r="J15" s="42">
        <f t="shared" si="3"/>
        <v>17.027</v>
      </c>
      <c r="K15" s="43">
        <f>F15-(-976.48)</f>
        <v>1061.615</v>
      </c>
      <c r="L15" s="43">
        <f>F15/(-976.48)*100</f>
        <v>-8.718560543994757</v>
      </c>
      <c r="M15" s="32">
        <v>0</v>
      </c>
      <c r="N15" s="178">
        <f>F15-січень!F15</f>
        <v>85.135</v>
      </c>
      <c r="O15" s="40">
        <f t="shared" si="4"/>
        <v>85.135</v>
      </c>
      <c r="P15" s="42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32">
        <f>E16-січень!E16</f>
        <v>0</v>
      </c>
      <c r="N16" s="178">
        <f>F16-січень!F16</f>
        <v>0</v>
      </c>
      <c r="O16" s="40">
        <f t="shared" si="4"/>
        <v>0</v>
      </c>
      <c r="P16" s="42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36">
        <v>0</v>
      </c>
      <c r="E17" s="36">
        <v>0</v>
      </c>
      <c r="F17" s="172">
        <v>0.05</v>
      </c>
      <c r="G17" s="36">
        <f t="shared" si="0"/>
        <v>0.05</v>
      </c>
      <c r="H17" s="32"/>
      <c r="I17" s="42">
        <f t="shared" si="2"/>
        <v>0.05</v>
      </c>
      <c r="J17" s="42"/>
      <c r="K17" s="112">
        <f>F17-0</f>
        <v>0.05</v>
      </c>
      <c r="L17" s="112"/>
      <c r="M17" s="32">
        <f>E17-січень!E17</f>
        <v>0</v>
      </c>
      <c r="N17" s="178">
        <f>F17-січень!F17</f>
        <v>0.05</v>
      </c>
      <c r="O17" s="40">
        <f t="shared" si="4"/>
        <v>0.05</v>
      </c>
      <c r="P17" s="42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33">
        <v>10</v>
      </c>
      <c r="E18" s="33">
        <v>10</v>
      </c>
      <c r="F18" s="170">
        <v>105.8</v>
      </c>
      <c r="G18" s="36">
        <f t="shared" si="0"/>
        <v>95.8</v>
      </c>
      <c r="H18" s="32">
        <f t="shared" si="1"/>
        <v>1058</v>
      </c>
      <c r="I18" s="42">
        <f t="shared" si="2"/>
        <v>95.8</v>
      </c>
      <c r="J18" s="42">
        <f t="shared" si="3"/>
        <v>1058</v>
      </c>
      <c r="K18" s="43">
        <f>F18-15.8</f>
        <v>90</v>
      </c>
      <c r="L18" s="40">
        <f>F18/15.8*100</f>
        <v>669.6202531645569</v>
      </c>
      <c r="M18" s="32">
        <v>10</v>
      </c>
      <c r="N18" s="178">
        <f>F18-січень!F18</f>
        <v>105.8</v>
      </c>
      <c r="O18" s="40">
        <f t="shared" si="4"/>
        <v>95.8</v>
      </c>
      <c r="P18" s="42">
        <f t="shared" si="5"/>
        <v>1058</v>
      </c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36">
        <v>109900</v>
      </c>
      <c r="E19" s="36">
        <v>12060.4</v>
      </c>
      <c r="F19" s="172">
        <v>10861</v>
      </c>
      <c r="G19" s="36">
        <f t="shared" si="0"/>
        <v>-1199.3999999999996</v>
      </c>
      <c r="H19" s="32">
        <f aca="true" t="shared" si="6" ref="H19:H31">F19/E19*100</f>
        <v>90.0550562170409</v>
      </c>
      <c r="I19" s="42">
        <f t="shared" si="2"/>
        <v>-99039</v>
      </c>
      <c r="J19" s="42">
        <f t="shared" si="3"/>
        <v>9.882620564149226</v>
      </c>
      <c r="K19" s="185">
        <f>F19-3525.13</f>
        <v>7335.87</v>
      </c>
      <c r="L19" s="185">
        <f>F19/3525.13*100</f>
        <v>308.10211254620395</v>
      </c>
      <c r="M19" s="32">
        <v>6500</v>
      </c>
      <c r="N19" s="178">
        <f>F19-січень!F19</f>
        <v>5300.6</v>
      </c>
      <c r="O19" s="40">
        <f t="shared" si="4"/>
        <v>-1199.3999999999996</v>
      </c>
      <c r="P19" s="42">
        <f aca="true" t="shared" si="7" ref="P19:P25">N19/M19*100</f>
        <v>81.54769230769232</v>
      </c>
      <c r="Q19" s="113"/>
      <c r="R19" s="114"/>
    </row>
    <row r="20" spans="1:18" s="6" customFormat="1" ht="15">
      <c r="A20" s="8"/>
      <c r="B20" s="130" t="s">
        <v>76</v>
      </c>
      <c r="C20" s="48">
        <v>18000000</v>
      </c>
      <c r="D20" s="36">
        <f>D21+D25+D27</f>
        <v>270940</v>
      </c>
      <c r="E20" s="36">
        <f>E21+E25+E27</f>
        <v>50052.104999999996</v>
      </c>
      <c r="F20" s="184">
        <f>F21+F25+F27+F26</f>
        <v>59046.44</v>
      </c>
      <c r="G20" s="36">
        <f t="shared" si="0"/>
        <v>8994.335000000006</v>
      </c>
      <c r="H20" s="32">
        <f t="shared" si="6"/>
        <v>117.96994352185588</v>
      </c>
      <c r="I20" s="42">
        <f t="shared" si="2"/>
        <v>-211893.56</v>
      </c>
      <c r="J20" s="42">
        <f t="shared" si="3"/>
        <v>21.79317930169041</v>
      </c>
      <c r="K20" s="132">
        <f>F20-37103.23</f>
        <v>21943.21</v>
      </c>
      <c r="L20" s="110">
        <f>F20/37103.23*100</f>
        <v>159.14096966760036</v>
      </c>
      <c r="M20" s="32">
        <f>M21+M25+M26+M27</f>
        <v>25265</v>
      </c>
      <c r="N20" s="178">
        <f>F20-січень!F20</f>
        <v>34249.380000000005</v>
      </c>
      <c r="O20" s="40">
        <f t="shared" si="4"/>
        <v>8984.380000000005</v>
      </c>
      <c r="P20" s="42">
        <f t="shared" si="7"/>
        <v>135.56057787453</v>
      </c>
      <c r="Q20" s="113"/>
      <c r="R20" s="114"/>
    </row>
    <row r="21" spans="1:18" s="6" customFormat="1" ht="15">
      <c r="A21" s="8"/>
      <c r="B21" s="49" t="s">
        <v>84</v>
      </c>
      <c r="C21" s="127">
        <v>18010000</v>
      </c>
      <c r="D21" s="36">
        <f>D22+D23+D24</f>
        <v>161400</v>
      </c>
      <c r="E21" s="36">
        <f>E22+E23+E24</f>
        <v>23496.26</v>
      </c>
      <c r="F21" s="173">
        <f>F22+F23+F24</f>
        <v>25484.05</v>
      </c>
      <c r="G21" s="36">
        <f t="shared" si="0"/>
        <v>1987.7900000000009</v>
      </c>
      <c r="H21" s="32">
        <f t="shared" si="6"/>
        <v>108.46002725540149</v>
      </c>
      <c r="I21" s="42">
        <f t="shared" si="2"/>
        <v>-135915.95</v>
      </c>
      <c r="J21" s="42">
        <f t="shared" si="3"/>
        <v>15.789374225526643</v>
      </c>
      <c r="K21" s="132">
        <f>F21-15266.79</f>
        <v>10217.259999999998</v>
      </c>
      <c r="L21" s="110">
        <f>F21/15266.79*100</f>
        <v>166.92474318438911</v>
      </c>
      <c r="M21" s="32">
        <f>M22+M23+M24</f>
        <v>11597</v>
      </c>
      <c r="N21" s="178">
        <f>F21-січень!F21</f>
        <v>13584.75</v>
      </c>
      <c r="O21" s="40">
        <f t="shared" si="4"/>
        <v>1987.75</v>
      </c>
      <c r="P21" s="42">
        <f t="shared" si="7"/>
        <v>117.14020867465725</v>
      </c>
      <c r="Q21" s="113"/>
      <c r="R21" s="114"/>
    </row>
    <row r="22" spans="1:18" s="6" customFormat="1" ht="15">
      <c r="A22" s="8"/>
      <c r="B22" s="55" t="s">
        <v>77</v>
      </c>
      <c r="C22" s="138"/>
      <c r="D22" s="109">
        <v>18500</v>
      </c>
      <c r="E22" s="109">
        <v>3291.6</v>
      </c>
      <c r="F22" s="171">
        <v>3552.77</v>
      </c>
      <c r="G22" s="109">
        <f>F22-E22</f>
        <v>261.1700000000001</v>
      </c>
      <c r="H22" s="111">
        <f t="shared" si="6"/>
        <v>107.93443917851502</v>
      </c>
      <c r="I22" s="110">
        <f t="shared" si="2"/>
        <v>-14947.23</v>
      </c>
      <c r="J22" s="110">
        <f t="shared" si="3"/>
        <v>19.20416216216216</v>
      </c>
      <c r="K22" s="174">
        <f>F22-306.01</f>
        <v>3246.76</v>
      </c>
      <c r="L22" s="174">
        <f>F22/306.01*100</f>
        <v>1160.9980066010914</v>
      </c>
      <c r="M22" s="111">
        <v>242</v>
      </c>
      <c r="N22" s="179">
        <f>F22-січень!F22</f>
        <v>503.1700000000001</v>
      </c>
      <c r="O22" s="112">
        <f t="shared" si="4"/>
        <v>261.1700000000001</v>
      </c>
      <c r="P22" s="110">
        <f t="shared" si="7"/>
        <v>207.9214876033058</v>
      </c>
      <c r="Q22" s="113"/>
      <c r="R22" s="114"/>
    </row>
    <row r="23" spans="1:18" s="6" customFormat="1" ht="15">
      <c r="A23" s="8"/>
      <c r="B23" s="55" t="s">
        <v>78</v>
      </c>
      <c r="C23" s="138"/>
      <c r="D23" s="109">
        <v>2800</v>
      </c>
      <c r="E23" s="109">
        <v>201.84</v>
      </c>
      <c r="F23" s="171">
        <v>174.21</v>
      </c>
      <c r="G23" s="109">
        <f>F23-E23</f>
        <v>-27.629999999999995</v>
      </c>
      <c r="H23" s="111">
        <f t="shared" si="6"/>
        <v>86.31093935790726</v>
      </c>
      <c r="I23" s="110">
        <f t="shared" si="2"/>
        <v>-2625.79</v>
      </c>
      <c r="J23" s="110">
        <f t="shared" si="3"/>
        <v>6.221785714285715</v>
      </c>
      <c r="K23" s="110">
        <f>F23-6.25</f>
        <v>167.96</v>
      </c>
      <c r="L23" s="110">
        <f>F23/6.25*100</f>
        <v>2787.36</v>
      </c>
      <c r="M23" s="111">
        <v>45</v>
      </c>
      <c r="N23" s="179">
        <f>F23-січень!F23</f>
        <v>17.340000000000003</v>
      </c>
      <c r="O23" s="112">
        <f t="shared" si="4"/>
        <v>-27.659999999999997</v>
      </c>
      <c r="P23" s="110">
        <f t="shared" si="7"/>
        <v>38.53333333333334</v>
      </c>
      <c r="Q23" s="113"/>
      <c r="R23" s="114"/>
    </row>
    <row r="24" spans="1:18" s="6" customFormat="1" ht="15">
      <c r="A24" s="8"/>
      <c r="B24" s="55" t="s">
        <v>79</v>
      </c>
      <c r="C24" s="138"/>
      <c r="D24" s="109">
        <v>140100</v>
      </c>
      <c r="E24" s="109">
        <v>20002.82</v>
      </c>
      <c r="F24" s="171">
        <v>21757.07</v>
      </c>
      <c r="G24" s="109">
        <f>F24-E24</f>
        <v>1754.25</v>
      </c>
      <c r="H24" s="111">
        <f t="shared" si="6"/>
        <v>108.77001342810664</v>
      </c>
      <c r="I24" s="110">
        <f t="shared" si="2"/>
        <v>-118342.93</v>
      </c>
      <c r="J24" s="110">
        <f t="shared" si="3"/>
        <v>15.529671663097789</v>
      </c>
      <c r="K24" s="174">
        <f>F24-14954.53</f>
        <v>6802.539999999999</v>
      </c>
      <c r="L24" s="174">
        <f>F24/14954.53*100</f>
        <v>145.48815643152943</v>
      </c>
      <c r="M24" s="111">
        <v>11310</v>
      </c>
      <c r="N24" s="179">
        <f>F24-січень!F24</f>
        <v>13064.24</v>
      </c>
      <c r="O24" s="112">
        <f t="shared" si="4"/>
        <v>1754.2399999999998</v>
      </c>
      <c r="P24" s="110">
        <f t="shared" si="7"/>
        <v>115.51052166224581</v>
      </c>
      <c r="Q24" s="113"/>
      <c r="R24" s="114"/>
    </row>
    <row r="25" spans="1:18" s="6" customFormat="1" ht="15">
      <c r="A25" s="8"/>
      <c r="B25" s="49" t="s">
        <v>85</v>
      </c>
      <c r="C25" s="127">
        <v>18030000</v>
      </c>
      <c r="D25" s="36">
        <v>77</v>
      </c>
      <c r="E25" s="36">
        <v>10.605</v>
      </c>
      <c r="F25" s="172">
        <v>20.81</v>
      </c>
      <c r="G25" s="36">
        <f>F25-E25</f>
        <v>10.204999999999998</v>
      </c>
      <c r="H25" s="32">
        <f t="shared" si="6"/>
        <v>196.2281942479962</v>
      </c>
      <c r="I25" s="42">
        <f t="shared" si="2"/>
        <v>-56.19</v>
      </c>
      <c r="J25" s="42">
        <f t="shared" si="3"/>
        <v>27.025974025974026</v>
      </c>
      <c r="K25" s="132">
        <f>F25-14.22</f>
        <v>6.589999999999998</v>
      </c>
      <c r="L25" s="132">
        <f>F25/14.22*100</f>
        <v>146.34317862165963</v>
      </c>
      <c r="M25" s="32">
        <v>8</v>
      </c>
      <c r="N25" s="178">
        <f>F25-січень!F25</f>
        <v>18.2</v>
      </c>
      <c r="O25" s="40">
        <f t="shared" si="4"/>
        <v>10.2</v>
      </c>
      <c r="P25" s="42">
        <f t="shared" si="7"/>
        <v>227.5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36"/>
      <c r="E26" s="36"/>
      <c r="F26" s="172">
        <v>-52.93</v>
      </c>
      <c r="G26" s="36">
        <f aca="true" t="shared" si="8" ref="G26:G32">F26-E26</f>
        <v>-52.93</v>
      </c>
      <c r="H26" s="32"/>
      <c r="I26" s="42">
        <f t="shared" si="2"/>
        <v>-52.93</v>
      </c>
      <c r="J26" s="42"/>
      <c r="K26" s="132">
        <f>F26-87.67</f>
        <v>-140.6</v>
      </c>
      <c r="L26" s="132">
        <f>F26/87.67*100</f>
        <v>-60.374130261206794</v>
      </c>
      <c r="M26" s="32">
        <f>E26-січень!E26</f>
        <v>0</v>
      </c>
      <c r="N26" s="178">
        <f>F26-січень!F26</f>
        <v>-52.58</v>
      </c>
      <c r="O26" s="40">
        <f t="shared" si="4"/>
        <v>-52.58</v>
      </c>
      <c r="P26" s="42"/>
      <c r="Q26" s="113"/>
      <c r="R26" s="114"/>
    </row>
    <row r="27" spans="1:18" s="6" customFormat="1" ht="15">
      <c r="A27" s="8"/>
      <c r="B27" s="49" t="s">
        <v>87</v>
      </c>
      <c r="C27" s="127">
        <v>18050000</v>
      </c>
      <c r="D27" s="36">
        <v>109463</v>
      </c>
      <c r="E27" s="36">
        <v>26545.24</v>
      </c>
      <c r="F27" s="172">
        <v>33594.51</v>
      </c>
      <c r="G27" s="36">
        <f t="shared" si="8"/>
        <v>7049.27</v>
      </c>
      <c r="H27" s="32">
        <f t="shared" si="6"/>
        <v>126.55568380621159</v>
      </c>
      <c r="I27" s="42">
        <f t="shared" si="2"/>
        <v>-75868.48999999999</v>
      </c>
      <c r="J27" s="42">
        <f t="shared" si="3"/>
        <v>30.690288042534924</v>
      </c>
      <c r="K27" s="106">
        <f>F27-21734.55</f>
        <v>11859.960000000003</v>
      </c>
      <c r="L27" s="106">
        <f>F27/21734.55*100</f>
        <v>154.56731333291927</v>
      </c>
      <c r="M27" s="32">
        <v>13660</v>
      </c>
      <c r="N27" s="178">
        <f>F27-січень!F27</f>
        <v>20699.010000000002</v>
      </c>
      <c r="O27" s="40">
        <f t="shared" si="4"/>
        <v>7039.010000000002</v>
      </c>
      <c r="P27" s="42">
        <f>N27/M27*100</f>
        <v>151.5300878477306</v>
      </c>
      <c r="Q27" s="113"/>
      <c r="R27" s="114"/>
    </row>
    <row r="28" spans="1:18" s="6" customFormat="1" ht="15">
      <c r="A28" s="8"/>
      <c r="B28" s="55" t="s">
        <v>94</v>
      </c>
      <c r="C28" s="108">
        <v>18050200</v>
      </c>
      <c r="D28" s="109">
        <v>0</v>
      </c>
      <c r="E28" s="109">
        <v>0</v>
      </c>
      <c r="F28" s="171">
        <v>0.07</v>
      </c>
      <c r="G28" s="109">
        <f t="shared" si="8"/>
        <v>0.07</v>
      </c>
      <c r="H28" s="111"/>
      <c r="I28" s="110">
        <f t="shared" si="2"/>
        <v>0.07</v>
      </c>
      <c r="J28" s="110"/>
      <c r="K28" s="142">
        <v>0</v>
      </c>
      <c r="L28" s="142"/>
      <c r="M28" s="111">
        <f>E28-січень!E28</f>
        <v>0</v>
      </c>
      <c r="N28" s="179">
        <f>F28-січень!F28</f>
        <v>0.07</v>
      </c>
      <c r="O28" s="112">
        <f t="shared" si="4"/>
        <v>0.07</v>
      </c>
      <c r="P28" s="110"/>
      <c r="Q28" s="113"/>
      <c r="R28" s="114"/>
    </row>
    <row r="29" spans="1:18" s="6" customFormat="1" ht="15">
      <c r="A29" s="8"/>
      <c r="B29" s="55" t="s">
        <v>95</v>
      </c>
      <c r="C29" s="108">
        <v>18050300</v>
      </c>
      <c r="D29" s="109">
        <v>27600</v>
      </c>
      <c r="E29" s="109">
        <v>5655.97</v>
      </c>
      <c r="F29" s="171">
        <v>8679.27</v>
      </c>
      <c r="G29" s="109">
        <f t="shared" si="8"/>
        <v>3023.3</v>
      </c>
      <c r="H29" s="111">
        <f t="shared" si="6"/>
        <v>153.45325381853158</v>
      </c>
      <c r="I29" s="110">
        <f t="shared" si="2"/>
        <v>-18920.73</v>
      </c>
      <c r="J29" s="110">
        <f t="shared" si="3"/>
        <v>31.44663043478261</v>
      </c>
      <c r="K29" s="142">
        <f>F29-5853.24</f>
        <v>2826.0300000000007</v>
      </c>
      <c r="L29" s="142">
        <f>F29/5853.24*100</f>
        <v>148.28146462472068</v>
      </c>
      <c r="M29" s="111">
        <v>3500</v>
      </c>
      <c r="N29" s="179">
        <f>F29-січень!F29</f>
        <v>6523.300000000001</v>
      </c>
      <c r="O29" s="112">
        <f t="shared" si="4"/>
        <v>3023.300000000001</v>
      </c>
      <c r="P29" s="110">
        <f>N29/M29*100</f>
        <v>186.38000000000002</v>
      </c>
      <c r="Q29" s="113"/>
      <c r="R29" s="114"/>
    </row>
    <row r="30" spans="1:18" s="6" customFormat="1" ht="15">
      <c r="A30" s="8"/>
      <c r="B30" s="55" t="s">
        <v>96</v>
      </c>
      <c r="C30" s="108">
        <v>18050400</v>
      </c>
      <c r="D30" s="109">
        <v>81812</v>
      </c>
      <c r="E30" s="109">
        <v>20886.08</v>
      </c>
      <c r="F30" s="171">
        <v>24907.67</v>
      </c>
      <c r="G30" s="109">
        <f t="shared" si="8"/>
        <v>4021.5899999999965</v>
      </c>
      <c r="H30" s="111">
        <f t="shared" si="6"/>
        <v>119.25488172026535</v>
      </c>
      <c r="I30" s="110">
        <f t="shared" si="2"/>
        <v>-56904.33</v>
      </c>
      <c r="J30" s="110">
        <f t="shared" si="3"/>
        <v>30.44500806727619</v>
      </c>
      <c r="K30" s="142">
        <f>F30-15877.68</f>
        <v>9029.989999999998</v>
      </c>
      <c r="L30" s="142">
        <f>F30/15877.68*100</f>
        <v>156.87222566521052</v>
      </c>
      <c r="M30" s="111">
        <v>10160</v>
      </c>
      <c r="N30" s="179">
        <f>F30-січень!F30</f>
        <v>14171.329999999998</v>
      </c>
      <c r="O30" s="112">
        <f t="shared" si="4"/>
        <v>4011.329999999998</v>
      </c>
      <c r="P30" s="110">
        <f>N30/M30*100</f>
        <v>139.48159448818896</v>
      </c>
      <c r="Q30" s="113"/>
      <c r="R30" s="114"/>
    </row>
    <row r="31" spans="1:18" s="6" customFormat="1" ht="15">
      <c r="A31" s="8"/>
      <c r="B31" s="55" t="s">
        <v>97</v>
      </c>
      <c r="C31" s="108">
        <v>18050500</v>
      </c>
      <c r="D31" s="109">
        <v>51</v>
      </c>
      <c r="E31" s="109">
        <v>3.193</v>
      </c>
      <c r="F31" s="171">
        <v>7.49</v>
      </c>
      <c r="G31" s="109">
        <f t="shared" si="8"/>
        <v>4.297000000000001</v>
      </c>
      <c r="H31" s="111">
        <f t="shared" si="6"/>
        <v>234.5756341998121</v>
      </c>
      <c r="I31" s="110">
        <f t="shared" si="2"/>
        <v>-43.51</v>
      </c>
      <c r="J31" s="110">
        <f t="shared" si="3"/>
        <v>14.686274509803923</v>
      </c>
      <c r="K31" s="142">
        <f>F31-3.63</f>
        <v>3.8600000000000003</v>
      </c>
      <c r="L31" s="142">
        <f>F31/3.63*100</f>
        <v>206.33608815427002</v>
      </c>
      <c r="M31" s="111">
        <v>0</v>
      </c>
      <c r="N31" s="179">
        <f>F31-січень!F31</f>
        <v>4.300000000000001</v>
      </c>
      <c r="O31" s="112">
        <f t="shared" si="4"/>
        <v>4.300000000000001</v>
      </c>
      <c r="P31" s="110"/>
      <c r="Q31" s="113"/>
      <c r="R31" s="114"/>
    </row>
    <row r="32" spans="1:18" s="6" customFormat="1" ht="15">
      <c r="A32" s="8"/>
      <c r="B32" s="49" t="s">
        <v>47</v>
      </c>
      <c r="C32" s="48">
        <v>19010000</v>
      </c>
      <c r="D32" s="36">
        <v>0</v>
      </c>
      <c r="E32" s="36">
        <v>0</v>
      </c>
      <c r="F32" s="172">
        <v>0</v>
      </c>
      <c r="G32" s="36">
        <f t="shared" si="8"/>
        <v>0</v>
      </c>
      <c r="H32" s="32"/>
      <c r="I32" s="42">
        <f t="shared" si="2"/>
        <v>0</v>
      </c>
      <c r="J32" s="42"/>
      <c r="K32" s="132">
        <f>F32-1999.24</f>
        <v>-1999.24</v>
      </c>
      <c r="L32" s="132">
        <f>F32/1999.24*100</f>
        <v>0</v>
      </c>
      <c r="M32" s="32">
        <v>0</v>
      </c>
      <c r="N32" s="178">
        <f>F32-січень!F32</f>
        <v>-9.9</v>
      </c>
      <c r="O32" s="40">
        <f t="shared" si="4"/>
        <v>-9.9</v>
      </c>
      <c r="P32" s="42"/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D34+D35+D36+D37+D38+D39+D41+D42+D43+D44+D45+D50+D51+D55</f>
        <v>42820</v>
      </c>
      <c r="E33" s="15">
        <f>E34+E35+E36+E37+E38+E39+E41+E42+E43+E44+E45+E50+E51+E55</f>
        <v>4935.026</v>
      </c>
      <c r="F33" s="15">
        <f>F34+F35+F36+F37+F38+F39+F41+F42+F43+F44+F45+F50+F51+F55-0.02</f>
        <v>4916.44</v>
      </c>
      <c r="G33" s="15">
        <f>G34+G35+G36+G37+G38+G39+G41+G42+G43+G44+G45+G50+G51+G55</f>
        <v>-18.566000000000244</v>
      </c>
      <c r="H33" s="38">
        <f>F33/E33*100</f>
        <v>99.62338597608199</v>
      </c>
      <c r="I33" s="28">
        <f>F33-D33</f>
        <v>-37903.56</v>
      </c>
      <c r="J33" s="28">
        <f>F33/D33*100</f>
        <v>11.481644091546006</v>
      </c>
      <c r="K33" s="15">
        <f>F33-4883.7</f>
        <v>32.73999999999978</v>
      </c>
      <c r="L33" s="15">
        <f>F33/4883.7*100</f>
        <v>100.67039334930483</v>
      </c>
      <c r="M33" s="15">
        <f>M34+M35+M36+M37+M38+M39+M41+M42+M43+M44+M45+M50+M51+M55</f>
        <v>2907.3</v>
      </c>
      <c r="N33" s="15">
        <f>N34+N35+N36+N37+N38+N39+N41+N42+N43+N44+N45+N50+N51+N55</f>
        <v>2885.4900000000002</v>
      </c>
      <c r="O33" s="15">
        <f>O34+O35+O36+O37+O38+O39+O41+O42+O43+O44+O45+O50+O51+O55</f>
        <v>-21.810000000000016</v>
      </c>
      <c r="P33" s="15">
        <f>N33/M33*100</f>
        <v>99.24981942008048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100</v>
      </c>
      <c r="E34" s="33">
        <v>50</v>
      </c>
      <c r="F34" s="170">
        <v>78.05</v>
      </c>
      <c r="G34" s="36">
        <f>F34-E34</f>
        <v>28.049999999999997</v>
      </c>
      <c r="H34" s="32">
        <f aca="true" t="shared" si="9" ref="H34:H56">F34/E34*100</f>
        <v>156.1</v>
      </c>
      <c r="I34" s="42">
        <f>F34-D34</f>
        <v>-21.950000000000003</v>
      </c>
      <c r="J34" s="42">
        <f>F34/D34*100</f>
        <v>78.05</v>
      </c>
      <c r="K34" s="42">
        <f>F34-(-3.86)</f>
        <v>81.91</v>
      </c>
      <c r="L34" s="42">
        <f>F34/(-3.86)*100</f>
        <v>-2022.020725388601</v>
      </c>
      <c r="M34" s="32">
        <v>45.3</v>
      </c>
      <c r="N34" s="178">
        <f>F34-січень!F34</f>
        <v>73.34</v>
      </c>
      <c r="O34" s="40">
        <f>N34-M34</f>
        <v>28.040000000000006</v>
      </c>
      <c r="P34" s="42">
        <f aca="true" t="shared" si="10" ref="P34:P56">N34/M34*100</f>
        <v>161.89845474613688</v>
      </c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10000</v>
      </c>
      <c r="E35" s="33">
        <v>432</v>
      </c>
      <c r="F35" s="170">
        <v>432.1</v>
      </c>
      <c r="G35" s="36">
        <f aca="true" t="shared" si="11" ref="G35:G57">F35-E35</f>
        <v>0.10000000000002274</v>
      </c>
      <c r="H35" s="32">
        <f t="shared" si="9"/>
        <v>100.02314814814814</v>
      </c>
      <c r="I35" s="42">
        <f aca="true" t="shared" si="12" ref="I35:I57">F35-D35</f>
        <v>-9567.9</v>
      </c>
      <c r="J35" s="42">
        <f>F35/D35*100</f>
        <v>4.321000000000001</v>
      </c>
      <c r="K35" s="42">
        <f>F35-0</f>
        <v>432.1</v>
      </c>
      <c r="L35" s="42"/>
      <c r="M35" s="32">
        <v>432</v>
      </c>
      <c r="N35" s="178">
        <f>F35-січень!F35</f>
        <v>432.1</v>
      </c>
      <c r="O35" s="40">
        <f aca="true" t="shared" si="13" ref="O35:O57">N35-M35</f>
        <v>0.10000000000002274</v>
      </c>
      <c r="P35" s="42">
        <f t="shared" si="10"/>
        <v>100.02314814814814</v>
      </c>
      <c r="Q35" s="42"/>
      <c r="R35" s="100"/>
    </row>
    <row r="36" spans="1:18" s="6" customFormat="1" ht="15">
      <c r="A36" s="8"/>
      <c r="B36" s="144" t="s">
        <v>62</v>
      </c>
      <c r="C36" s="47">
        <v>21080500</v>
      </c>
      <c r="D36" s="33">
        <v>400</v>
      </c>
      <c r="E36" s="33">
        <v>31.44</v>
      </c>
      <c r="F36" s="170">
        <v>24.38</v>
      </c>
      <c r="G36" s="36">
        <f t="shared" si="11"/>
        <v>-7.060000000000002</v>
      </c>
      <c r="H36" s="32">
        <f t="shared" si="9"/>
        <v>77.5445292620865</v>
      </c>
      <c r="I36" s="42">
        <f t="shared" si="12"/>
        <v>-375.62</v>
      </c>
      <c r="J36" s="42">
        <f aca="true" t="shared" si="14" ref="J36:J56">F36/D36*100</f>
        <v>6.095</v>
      </c>
      <c r="K36" s="42">
        <f>F36-2.85</f>
        <v>21.529999999999998</v>
      </c>
      <c r="L36" s="42">
        <f>F36/2.85*100</f>
        <v>855.4385964912279</v>
      </c>
      <c r="M36" s="32">
        <v>20</v>
      </c>
      <c r="N36" s="178">
        <f>F36-січень!F36</f>
        <v>6.539999999999999</v>
      </c>
      <c r="O36" s="40">
        <f t="shared" si="13"/>
        <v>-13.46</v>
      </c>
      <c r="P36" s="42">
        <f t="shared" si="10"/>
        <v>32.699999999999996</v>
      </c>
      <c r="Q36" s="42"/>
      <c r="R36" s="100"/>
    </row>
    <row r="37" spans="1:18" s="6" customFormat="1" ht="30.7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70">
        <v>0.1</v>
      </c>
      <c r="G37" s="36">
        <f t="shared" si="11"/>
        <v>0.1</v>
      </c>
      <c r="H37" s="32"/>
      <c r="I37" s="42">
        <f t="shared" si="12"/>
        <v>0.1</v>
      </c>
      <c r="J37" s="42"/>
      <c r="K37" s="42">
        <f>F37-0</f>
        <v>0.1</v>
      </c>
      <c r="L37" s="42"/>
      <c r="M37" s="32">
        <v>0</v>
      </c>
      <c r="N37" s="178">
        <f>F37-січень!F37</f>
        <v>0.1</v>
      </c>
      <c r="O37" s="40">
        <f t="shared" si="13"/>
        <v>0.1</v>
      </c>
      <c r="P37" s="42"/>
      <c r="Q37" s="42"/>
      <c r="R37" s="100"/>
    </row>
    <row r="38" spans="1:18" s="6" customFormat="1" ht="15">
      <c r="A38" s="8"/>
      <c r="B38" s="145" t="s">
        <v>16</v>
      </c>
      <c r="C38" s="77">
        <v>21081100</v>
      </c>
      <c r="D38" s="33">
        <v>150</v>
      </c>
      <c r="E38" s="33">
        <v>20</v>
      </c>
      <c r="F38" s="170">
        <v>3.65</v>
      </c>
      <c r="G38" s="36">
        <f t="shared" si="11"/>
        <v>-16.35</v>
      </c>
      <c r="H38" s="32">
        <f t="shared" si="9"/>
        <v>18.25</v>
      </c>
      <c r="I38" s="42">
        <f t="shared" si="12"/>
        <v>-146.35</v>
      </c>
      <c r="J38" s="42">
        <f t="shared" si="14"/>
        <v>2.433333333333333</v>
      </c>
      <c r="K38" s="42">
        <f>F38-16.83</f>
        <v>-13.179999999999998</v>
      </c>
      <c r="L38" s="42">
        <f>F38/16.83*100</f>
        <v>21.687462863933455</v>
      </c>
      <c r="M38" s="32">
        <v>10</v>
      </c>
      <c r="N38" s="178">
        <f>F38-січень!F38</f>
        <v>10.05</v>
      </c>
      <c r="O38" s="40">
        <f t="shared" si="13"/>
        <v>0.05000000000000071</v>
      </c>
      <c r="P38" s="42">
        <f t="shared" si="10"/>
        <v>100.50000000000001</v>
      </c>
      <c r="Q38" s="42"/>
      <c r="R38" s="100"/>
    </row>
    <row r="39" spans="1:18" s="6" customFormat="1" ht="30.75">
      <c r="A39" s="8"/>
      <c r="B39" s="145" t="s">
        <v>124</v>
      </c>
      <c r="C39" s="54">
        <v>22010300</v>
      </c>
      <c r="D39" s="33">
        <v>90</v>
      </c>
      <c r="E39" s="33">
        <v>8</v>
      </c>
      <c r="F39" s="170">
        <v>0</v>
      </c>
      <c r="G39" s="36">
        <f t="shared" si="11"/>
        <v>-8</v>
      </c>
      <c r="H39" s="32">
        <f t="shared" si="9"/>
        <v>0</v>
      </c>
      <c r="I39" s="42">
        <f t="shared" si="12"/>
        <v>-90</v>
      </c>
      <c r="J39" s="42">
        <f t="shared" si="14"/>
        <v>0</v>
      </c>
      <c r="K39" s="42">
        <f>F39-0</f>
        <v>0</v>
      </c>
      <c r="L39" s="42"/>
      <c r="M39" s="32">
        <v>8</v>
      </c>
      <c r="N39" s="178">
        <f>F39-січень!F39</f>
        <v>0</v>
      </c>
      <c r="O39" s="40">
        <f t="shared" si="13"/>
        <v>-8</v>
      </c>
      <c r="P39" s="42">
        <f t="shared" si="10"/>
        <v>0</v>
      </c>
      <c r="Q39" s="42"/>
      <c r="R39" s="100"/>
    </row>
    <row r="40" spans="1:18" s="6" customFormat="1" ht="15" hidden="1">
      <c r="A40" s="8"/>
      <c r="B40" s="145"/>
      <c r="C40" s="54"/>
      <c r="D40" s="33"/>
      <c r="E40" s="33"/>
      <c r="F40" s="170"/>
      <c r="G40" s="36"/>
      <c r="H40" s="32"/>
      <c r="I40" s="42"/>
      <c r="J40" s="42"/>
      <c r="K40" s="42"/>
      <c r="L40" s="42"/>
      <c r="M40" s="32">
        <f>E40-січень!E40</f>
        <v>0</v>
      </c>
      <c r="N40" s="178">
        <f>F40-січень!F40</f>
        <v>0</v>
      </c>
      <c r="O40" s="40"/>
      <c r="P40" s="42"/>
      <c r="Q40" s="42"/>
      <c r="R40" s="100"/>
    </row>
    <row r="41" spans="1:18" s="6" customFormat="1" ht="15">
      <c r="A41" s="8"/>
      <c r="B41" s="35" t="s">
        <v>81</v>
      </c>
      <c r="C41" s="77">
        <v>22012500</v>
      </c>
      <c r="D41" s="33">
        <v>9900</v>
      </c>
      <c r="E41" s="33">
        <v>1339.015</v>
      </c>
      <c r="F41" s="170">
        <v>1351.17</v>
      </c>
      <c r="G41" s="36">
        <f t="shared" si="11"/>
        <v>12.154999999999973</v>
      </c>
      <c r="H41" s="32">
        <f t="shared" si="9"/>
        <v>100.90775682124547</v>
      </c>
      <c r="I41" s="42">
        <f t="shared" si="12"/>
        <v>-8548.83</v>
      </c>
      <c r="J41" s="42">
        <f t="shared" si="14"/>
        <v>13.648181818181818</v>
      </c>
      <c r="K41" s="42">
        <f>F41-1559.47</f>
        <v>-208.29999999999995</v>
      </c>
      <c r="L41" s="42">
        <f>F41/1559.47*100</f>
        <v>86.64289790762247</v>
      </c>
      <c r="M41" s="32">
        <v>800</v>
      </c>
      <c r="N41" s="178">
        <f>F41-січень!F41</f>
        <v>812.1500000000001</v>
      </c>
      <c r="O41" s="40">
        <f t="shared" si="13"/>
        <v>12.150000000000091</v>
      </c>
      <c r="P41" s="42">
        <f t="shared" si="10"/>
        <v>101.51875000000001</v>
      </c>
      <c r="Q41" s="42"/>
      <c r="R41" s="100"/>
    </row>
    <row r="42" spans="1:18" s="6" customFormat="1" ht="30.75">
      <c r="A42" s="8"/>
      <c r="B42" s="35" t="s">
        <v>111</v>
      </c>
      <c r="C42" s="77">
        <v>22012600</v>
      </c>
      <c r="D42" s="33">
        <v>1500</v>
      </c>
      <c r="E42" s="33">
        <v>130</v>
      </c>
      <c r="F42" s="170">
        <v>1.2</v>
      </c>
      <c r="G42" s="36">
        <f t="shared" si="11"/>
        <v>-128.8</v>
      </c>
      <c r="H42" s="32">
        <f t="shared" si="9"/>
        <v>0.923076923076923</v>
      </c>
      <c r="I42" s="42">
        <f t="shared" si="12"/>
        <v>-1498.8</v>
      </c>
      <c r="J42" s="42">
        <f t="shared" si="14"/>
        <v>0.07999999999999999</v>
      </c>
      <c r="K42" s="42"/>
      <c r="L42" s="42"/>
      <c r="M42" s="32">
        <v>130</v>
      </c>
      <c r="N42" s="178">
        <f>F42-січень!F42</f>
        <v>0.16999999999999993</v>
      </c>
      <c r="O42" s="40">
        <f t="shared" si="13"/>
        <v>-129.83</v>
      </c>
      <c r="P42" s="42">
        <f t="shared" si="10"/>
        <v>0.13076923076923072</v>
      </c>
      <c r="Q42" s="42"/>
      <c r="R42" s="100"/>
    </row>
    <row r="43" spans="1:18" s="6" customFormat="1" ht="30.75">
      <c r="A43" s="8"/>
      <c r="B43" s="35" t="s">
        <v>125</v>
      </c>
      <c r="C43" s="77">
        <v>22012900</v>
      </c>
      <c r="D43" s="33">
        <v>50</v>
      </c>
      <c r="E43" s="33">
        <v>4</v>
      </c>
      <c r="F43" s="170">
        <v>0</v>
      </c>
      <c r="G43" s="36">
        <f t="shared" si="11"/>
        <v>-4</v>
      </c>
      <c r="H43" s="32">
        <f t="shared" si="9"/>
        <v>0</v>
      </c>
      <c r="I43" s="42">
        <f t="shared" si="12"/>
        <v>-50</v>
      </c>
      <c r="J43" s="42">
        <f t="shared" si="14"/>
        <v>0</v>
      </c>
      <c r="K43" s="42"/>
      <c r="L43" s="42"/>
      <c r="M43" s="32">
        <v>4</v>
      </c>
      <c r="N43" s="178">
        <f>F43-січень!F43</f>
        <v>0</v>
      </c>
      <c r="O43" s="40">
        <f t="shared" si="13"/>
        <v>-4</v>
      </c>
      <c r="P43" s="42">
        <f t="shared" si="10"/>
        <v>0</v>
      </c>
      <c r="Q43" s="42"/>
      <c r="R43" s="100"/>
    </row>
    <row r="44" spans="1:18" s="6" customFormat="1" ht="30.75">
      <c r="A44" s="8"/>
      <c r="B44" s="145" t="s">
        <v>14</v>
      </c>
      <c r="C44" s="54">
        <v>22080400</v>
      </c>
      <c r="D44" s="33">
        <v>8500</v>
      </c>
      <c r="E44" s="33">
        <v>1366.23</v>
      </c>
      <c r="F44" s="170">
        <v>1303.34</v>
      </c>
      <c r="G44" s="36">
        <f t="shared" si="11"/>
        <v>-62.8900000000001</v>
      </c>
      <c r="H44" s="32">
        <f t="shared" si="9"/>
        <v>95.3968219113912</v>
      </c>
      <c r="I44" s="42">
        <f t="shared" si="12"/>
        <v>-7196.66</v>
      </c>
      <c r="J44" s="42">
        <f t="shared" si="14"/>
        <v>15.33341176470588</v>
      </c>
      <c r="K44" s="42">
        <f>F44-1319.2</f>
        <v>-15.860000000000127</v>
      </c>
      <c r="L44" s="42">
        <f>F44/1319.2*100</f>
        <v>98.79775621588841</v>
      </c>
      <c r="M44" s="32">
        <v>650</v>
      </c>
      <c r="N44" s="178">
        <f>F44-січень!F44</f>
        <v>587.1099999999999</v>
      </c>
      <c r="O44" s="40">
        <f t="shared" si="13"/>
        <v>-62.8900000000001</v>
      </c>
      <c r="P44" s="42">
        <f t="shared" si="10"/>
        <v>90.32461538461537</v>
      </c>
      <c r="Q44" s="42"/>
      <c r="R44" s="100"/>
    </row>
    <row r="45" spans="1:18" s="6" customFormat="1" ht="15">
      <c r="A45" s="8"/>
      <c r="B45" s="145" t="s">
        <v>15</v>
      </c>
      <c r="C45" s="48">
        <v>22090000</v>
      </c>
      <c r="D45" s="33">
        <v>7300</v>
      </c>
      <c r="E45" s="33">
        <v>896.19</v>
      </c>
      <c r="F45" s="170">
        <v>965.16</v>
      </c>
      <c r="G45" s="36">
        <f t="shared" si="11"/>
        <v>68.96999999999991</v>
      </c>
      <c r="H45" s="32">
        <f t="shared" si="9"/>
        <v>107.69591269708431</v>
      </c>
      <c r="I45" s="42">
        <f t="shared" si="12"/>
        <v>-6334.84</v>
      </c>
      <c r="J45" s="42">
        <f t="shared" si="14"/>
        <v>13.221369863013699</v>
      </c>
      <c r="K45" s="132">
        <f>F45-1398.47</f>
        <v>-433.31000000000006</v>
      </c>
      <c r="L45" s="132">
        <f>F45/1398.47*100</f>
        <v>69.01542399908472</v>
      </c>
      <c r="M45" s="152">
        <v>488</v>
      </c>
      <c r="N45" s="180">
        <f>F45-січень!F45</f>
        <v>556.96</v>
      </c>
      <c r="O45" s="40">
        <f t="shared" si="13"/>
        <v>68.96000000000004</v>
      </c>
      <c r="P45" s="132">
        <f t="shared" si="10"/>
        <v>114.13114754098362</v>
      </c>
      <c r="Q45" s="42"/>
      <c r="R45" s="100"/>
    </row>
    <row r="46" spans="1:18" s="6" customFormat="1" ht="15">
      <c r="A46" s="8"/>
      <c r="B46" s="55" t="s">
        <v>101</v>
      </c>
      <c r="C46" s="138">
        <v>22090100</v>
      </c>
      <c r="D46" s="109">
        <v>1100</v>
      </c>
      <c r="E46" s="109">
        <v>112.99</v>
      </c>
      <c r="F46" s="171">
        <v>85.43</v>
      </c>
      <c r="G46" s="36">
        <f t="shared" si="11"/>
        <v>-27.559999999999988</v>
      </c>
      <c r="H46" s="32">
        <f t="shared" si="9"/>
        <v>75.60846092574565</v>
      </c>
      <c r="I46" s="110">
        <f t="shared" si="12"/>
        <v>-1014.5699999999999</v>
      </c>
      <c r="J46" s="42">
        <f t="shared" si="14"/>
        <v>7.766363636363637</v>
      </c>
      <c r="K46" s="110">
        <f>F46-139.45</f>
        <v>-54.01999999999998</v>
      </c>
      <c r="L46" s="110">
        <f>F46/139.45*100</f>
        <v>61.262101111509516</v>
      </c>
      <c r="M46" s="111">
        <v>87</v>
      </c>
      <c r="N46" s="179">
        <f>F46-січень!F46</f>
        <v>59.44000000000001</v>
      </c>
      <c r="O46" s="112">
        <f t="shared" si="13"/>
        <v>-27.559999999999988</v>
      </c>
      <c r="P46" s="132">
        <f t="shared" si="10"/>
        <v>68.32183908045978</v>
      </c>
      <c r="Q46" s="42"/>
      <c r="R46" s="100"/>
    </row>
    <row r="47" spans="1:18" s="6" customFormat="1" ht="15">
      <c r="A47" s="8"/>
      <c r="B47" s="55" t="s">
        <v>98</v>
      </c>
      <c r="C47" s="138">
        <v>22090200</v>
      </c>
      <c r="D47" s="109">
        <v>45</v>
      </c>
      <c r="E47" s="109">
        <v>1.035</v>
      </c>
      <c r="F47" s="171">
        <v>0.08</v>
      </c>
      <c r="G47" s="36">
        <f t="shared" si="11"/>
        <v>-0.955</v>
      </c>
      <c r="H47" s="32">
        <f t="shared" si="9"/>
        <v>7.729468599033817</v>
      </c>
      <c r="I47" s="110">
        <f t="shared" si="12"/>
        <v>-44.92</v>
      </c>
      <c r="J47" s="42">
        <f t="shared" si="14"/>
        <v>0.17777777777777778</v>
      </c>
      <c r="K47" s="110">
        <f>F47-1.07</f>
        <v>-0.9900000000000001</v>
      </c>
      <c r="L47" s="110">
        <f>F47/1.27*100</f>
        <v>6.299212598425196</v>
      </c>
      <c r="M47" s="111">
        <v>1</v>
      </c>
      <c r="N47" s="179">
        <f>F47-січень!F47</f>
        <v>0.04</v>
      </c>
      <c r="O47" s="112">
        <f t="shared" si="13"/>
        <v>-0.96</v>
      </c>
      <c r="P47" s="132">
        <f t="shared" si="10"/>
        <v>4</v>
      </c>
      <c r="Q47" s="42"/>
      <c r="R47" s="100"/>
    </row>
    <row r="48" spans="1:18" s="6" customFormat="1" ht="15">
      <c r="A48" s="8"/>
      <c r="B48" s="55" t="s">
        <v>99</v>
      </c>
      <c r="C48" s="138">
        <v>22090300</v>
      </c>
      <c r="D48" s="109">
        <v>1</v>
      </c>
      <c r="E48" s="109">
        <v>0</v>
      </c>
      <c r="F48" s="171">
        <v>0</v>
      </c>
      <c r="G48" s="36">
        <f t="shared" si="11"/>
        <v>0</v>
      </c>
      <c r="H48" s="32" t="e">
        <f t="shared" si="9"/>
        <v>#DIV/0!</v>
      </c>
      <c r="I48" s="110">
        <f t="shared" si="12"/>
        <v>-1</v>
      </c>
      <c r="J48" s="42">
        <f t="shared" si="14"/>
        <v>0</v>
      </c>
      <c r="K48" s="110">
        <f>F48-0.41</f>
        <v>-0.41</v>
      </c>
      <c r="L48" s="110">
        <f>F48/0.41*100</f>
        <v>0</v>
      </c>
      <c r="M48" s="111">
        <v>0</v>
      </c>
      <c r="N48" s="179">
        <f>F48-січень!F48</f>
        <v>0</v>
      </c>
      <c r="O48" s="112">
        <f t="shared" si="13"/>
        <v>0</v>
      </c>
      <c r="P48" s="132" t="e">
        <f t="shared" si="10"/>
        <v>#DIV/0!</v>
      </c>
      <c r="Q48" s="42"/>
      <c r="R48" s="100"/>
    </row>
    <row r="49" spans="1:18" s="6" customFormat="1" ht="15">
      <c r="A49" s="8"/>
      <c r="B49" s="55" t="s">
        <v>100</v>
      </c>
      <c r="C49" s="138">
        <v>22090400</v>
      </c>
      <c r="D49" s="109">
        <v>6154</v>
      </c>
      <c r="E49" s="109">
        <v>782.17</v>
      </c>
      <c r="F49" s="171">
        <v>878.65</v>
      </c>
      <c r="G49" s="36">
        <f t="shared" si="11"/>
        <v>96.48000000000002</v>
      </c>
      <c r="H49" s="32">
        <f t="shared" si="9"/>
        <v>112.3349144047969</v>
      </c>
      <c r="I49" s="110">
        <f t="shared" si="12"/>
        <v>-5275.35</v>
      </c>
      <c r="J49" s="42">
        <f t="shared" si="14"/>
        <v>14.277705557361065</v>
      </c>
      <c r="K49" s="110">
        <f>F49-1257.34</f>
        <v>-378.68999999999994</v>
      </c>
      <c r="L49" s="110">
        <f>F49/1257.34*100</f>
        <v>69.88165492229628</v>
      </c>
      <c r="M49" s="111">
        <v>400</v>
      </c>
      <c r="N49" s="179">
        <f>F49-січень!F49</f>
        <v>496.47999999999996</v>
      </c>
      <c r="O49" s="112">
        <f t="shared" si="13"/>
        <v>96.47999999999996</v>
      </c>
      <c r="P49" s="132">
        <f t="shared" si="10"/>
        <v>124.11999999999999</v>
      </c>
      <c r="Q49" s="42"/>
      <c r="R49" s="100"/>
    </row>
    <row r="50" spans="1:18" s="6" customFormat="1" ht="46.5">
      <c r="A50" s="8"/>
      <c r="B50" s="13" t="s">
        <v>17</v>
      </c>
      <c r="C50" s="11" t="s">
        <v>18</v>
      </c>
      <c r="D50" s="33">
        <v>10</v>
      </c>
      <c r="E50" s="33">
        <v>0.171</v>
      </c>
      <c r="F50" s="170">
        <v>2.46</v>
      </c>
      <c r="G50" s="36">
        <f t="shared" si="11"/>
        <v>2.289</v>
      </c>
      <c r="H50" s="32">
        <f t="shared" si="9"/>
        <v>1438.5964912280701</v>
      </c>
      <c r="I50" s="42">
        <f t="shared" si="12"/>
        <v>-7.54</v>
      </c>
      <c r="J50" s="42">
        <f t="shared" si="14"/>
        <v>24.6</v>
      </c>
      <c r="K50" s="42">
        <f>F50-0</f>
        <v>2.46</v>
      </c>
      <c r="L50" s="42"/>
      <c r="M50" s="32">
        <v>0</v>
      </c>
      <c r="N50" s="178">
        <f>F50-січень!F50</f>
        <v>2.29</v>
      </c>
      <c r="O50" s="40">
        <f t="shared" si="13"/>
        <v>2.29</v>
      </c>
      <c r="P50" s="132"/>
      <c r="Q50" s="42"/>
      <c r="R50" s="100"/>
    </row>
    <row r="51" spans="1:18" s="6" customFormat="1" ht="15.75" customHeight="1">
      <c r="A51" s="8"/>
      <c r="B51" s="146" t="s">
        <v>13</v>
      </c>
      <c r="C51" s="11" t="s">
        <v>19</v>
      </c>
      <c r="D51" s="33">
        <v>4800</v>
      </c>
      <c r="E51" s="33">
        <v>637.98</v>
      </c>
      <c r="F51" s="170">
        <v>722.66</v>
      </c>
      <c r="G51" s="36">
        <f t="shared" si="11"/>
        <v>84.67999999999995</v>
      </c>
      <c r="H51" s="32">
        <f t="shared" si="9"/>
        <v>113.27314335872597</v>
      </c>
      <c r="I51" s="42">
        <f t="shared" si="12"/>
        <v>-4077.34</v>
      </c>
      <c r="J51" s="42">
        <f t="shared" si="14"/>
        <v>15.055416666666666</v>
      </c>
      <c r="K51" s="42">
        <f>F51-590.24</f>
        <v>132.41999999999996</v>
      </c>
      <c r="L51" s="42">
        <f>F51/590.24*100</f>
        <v>122.43494171862292</v>
      </c>
      <c r="M51" s="32">
        <v>320</v>
      </c>
      <c r="N51" s="178">
        <f>F51-січень!F51</f>
        <v>404.67999999999995</v>
      </c>
      <c r="O51" s="40">
        <f t="shared" si="13"/>
        <v>84.67999999999995</v>
      </c>
      <c r="P51" s="42">
        <f t="shared" si="10"/>
        <v>126.46249999999999</v>
      </c>
      <c r="Q51" s="42"/>
      <c r="R51" s="100"/>
    </row>
    <row r="52" spans="1:18" s="6" customFormat="1" ht="15" hidden="1">
      <c r="A52" s="8"/>
      <c r="B52" s="12" t="s">
        <v>22</v>
      </c>
      <c r="C52" s="66" t="s">
        <v>23</v>
      </c>
      <c r="D52" s="33">
        <v>0</v>
      </c>
      <c r="E52" s="33">
        <v>0</v>
      </c>
      <c r="F52" s="170">
        <v>0</v>
      </c>
      <c r="G52" s="36">
        <f t="shared" si="11"/>
        <v>0</v>
      </c>
      <c r="H52" s="32" t="e">
        <f t="shared" si="9"/>
        <v>#DIV/0!</v>
      </c>
      <c r="I52" s="42">
        <f t="shared" si="12"/>
        <v>0</v>
      </c>
      <c r="J52" s="42" t="e">
        <f t="shared" si="14"/>
        <v>#DIV/0!</v>
      </c>
      <c r="K52" s="42"/>
      <c r="L52" s="42">
        <f>F52</f>
        <v>0</v>
      </c>
      <c r="M52" s="32">
        <f>E52-січень!E52</f>
        <v>0</v>
      </c>
      <c r="N52" s="178">
        <f>F52-січень!F52</f>
        <v>0</v>
      </c>
      <c r="O52" s="40">
        <f t="shared" si="13"/>
        <v>0</v>
      </c>
      <c r="P52" s="42" t="e">
        <f t="shared" si="10"/>
        <v>#DIV/0!</v>
      </c>
      <c r="Q52" s="42"/>
      <c r="R52" s="100"/>
    </row>
    <row r="53" spans="1:18" s="6" customFormat="1" ht="30.75">
      <c r="A53" s="8"/>
      <c r="B53" s="55" t="s">
        <v>43</v>
      </c>
      <c r="C53" s="66"/>
      <c r="D53" s="109"/>
      <c r="E53" s="109"/>
      <c r="F53" s="171">
        <v>147.3</v>
      </c>
      <c r="G53" s="36"/>
      <c r="H53" s="32"/>
      <c r="I53" s="42"/>
      <c r="J53" s="42"/>
      <c r="K53" s="112">
        <f>F53-142.7</f>
        <v>4.600000000000023</v>
      </c>
      <c r="L53" s="112">
        <f>F53/142.7*100</f>
        <v>103.22354590049056</v>
      </c>
      <c r="M53" s="111"/>
      <c r="N53" s="179">
        <f>F53-січень!F53</f>
        <v>77.14000000000001</v>
      </c>
      <c r="O53" s="112"/>
      <c r="P53" s="42"/>
      <c r="Q53" s="42"/>
      <c r="R53" s="100"/>
    </row>
    <row r="54" spans="1:18" s="6" customFormat="1" ht="15" hidden="1">
      <c r="A54" s="8"/>
      <c r="B54" s="146" t="s">
        <v>20</v>
      </c>
      <c r="C54" s="143" t="s">
        <v>21</v>
      </c>
      <c r="D54" s="36">
        <v>0</v>
      </c>
      <c r="E54" s="36">
        <v>0</v>
      </c>
      <c r="F54" s="172">
        <v>0</v>
      </c>
      <c r="G54" s="36">
        <f t="shared" si="11"/>
        <v>0</v>
      </c>
      <c r="H54" s="32"/>
      <c r="I54" s="42">
        <f t="shared" si="12"/>
        <v>0</v>
      </c>
      <c r="J54" s="42"/>
      <c r="K54" s="112"/>
      <c r="L54" s="112"/>
      <c r="M54" s="32">
        <f>E54-січень!E54</f>
        <v>0</v>
      </c>
      <c r="N54" s="178">
        <f>F54-січень!F54</f>
        <v>0</v>
      </c>
      <c r="O54" s="40">
        <f t="shared" si="13"/>
        <v>0</v>
      </c>
      <c r="P54" s="42"/>
      <c r="Q54" s="42"/>
      <c r="R54" s="100"/>
    </row>
    <row r="55" spans="1:18" s="6" customFormat="1" ht="44.25" customHeight="1">
      <c r="A55" s="8"/>
      <c r="B55" s="146" t="s">
        <v>44</v>
      </c>
      <c r="C55" s="48">
        <v>24061900</v>
      </c>
      <c r="D55" s="33">
        <v>20</v>
      </c>
      <c r="E55" s="33">
        <v>20</v>
      </c>
      <c r="F55" s="170">
        <v>32.19</v>
      </c>
      <c r="G55" s="36">
        <f t="shared" si="11"/>
        <v>12.189999999999998</v>
      </c>
      <c r="H55" s="32">
        <f t="shared" si="9"/>
        <v>160.95</v>
      </c>
      <c r="I55" s="42">
        <f t="shared" si="12"/>
        <v>12.189999999999998</v>
      </c>
      <c r="J55" s="42">
        <f t="shared" si="14"/>
        <v>160.95</v>
      </c>
      <c r="K55" s="42">
        <f>F55-0</f>
        <v>32.19</v>
      </c>
      <c r="L55" s="42"/>
      <c r="M55" s="32">
        <v>0</v>
      </c>
      <c r="N55" s="178">
        <f>F55-січень!F55</f>
        <v>0</v>
      </c>
      <c r="O55" s="40">
        <f t="shared" si="13"/>
        <v>0</v>
      </c>
      <c r="P55" s="42"/>
      <c r="Q55" s="42"/>
      <c r="R55" s="100"/>
    </row>
    <row r="56" spans="1:18" s="6" customFormat="1" ht="15">
      <c r="A56" s="8"/>
      <c r="B56" s="12" t="s">
        <v>45</v>
      </c>
      <c r="C56" s="48">
        <v>31010200</v>
      </c>
      <c r="D56" s="33">
        <v>30</v>
      </c>
      <c r="E56" s="33">
        <v>3</v>
      </c>
      <c r="F56" s="170">
        <v>3.8</v>
      </c>
      <c r="G56" s="36">
        <f t="shared" si="11"/>
        <v>0.7999999999999998</v>
      </c>
      <c r="H56" s="32">
        <f t="shared" si="9"/>
        <v>126.66666666666666</v>
      </c>
      <c r="I56" s="42">
        <f t="shared" si="12"/>
        <v>-26.2</v>
      </c>
      <c r="J56" s="42">
        <f t="shared" si="14"/>
        <v>12.666666666666664</v>
      </c>
      <c r="K56" s="42">
        <f>F56-3.3</f>
        <v>0.5</v>
      </c>
      <c r="L56" s="42">
        <f>F56/3.3*100</f>
        <v>115.15151515151516</v>
      </c>
      <c r="M56" s="32">
        <v>2</v>
      </c>
      <c r="N56" s="178">
        <f>F56-січень!F56</f>
        <v>2.8</v>
      </c>
      <c r="O56" s="40">
        <f t="shared" si="13"/>
        <v>0.7999999999999998</v>
      </c>
      <c r="P56" s="42">
        <f t="shared" si="10"/>
        <v>140</v>
      </c>
      <c r="Q56" s="42"/>
      <c r="R56" s="100"/>
    </row>
    <row r="57" spans="1:18" s="6" customFormat="1" ht="30.75">
      <c r="A57" s="8"/>
      <c r="B57" s="12" t="s">
        <v>58</v>
      </c>
      <c r="C57" s="48">
        <v>31020000</v>
      </c>
      <c r="D57" s="33">
        <v>0.6</v>
      </c>
      <c r="E57" s="33">
        <v>0</v>
      </c>
      <c r="F57" s="170">
        <v>0</v>
      </c>
      <c r="G57" s="36">
        <f t="shared" si="11"/>
        <v>0</v>
      </c>
      <c r="H57" s="32"/>
      <c r="I57" s="42">
        <f t="shared" si="12"/>
        <v>-0.6</v>
      </c>
      <c r="J57" s="42"/>
      <c r="K57" s="42">
        <f>F57-0.02</f>
        <v>-0.02</v>
      </c>
      <c r="L57" s="42"/>
      <c r="M57" s="32">
        <v>0</v>
      </c>
      <c r="N57" s="178">
        <f>F57-січень!F57</f>
        <v>0</v>
      </c>
      <c r="O57" s="40">
        <f t="shared" si="13"/>
        <v>0</v>
      </c>
      <c r="P57" s="42"/>
      <c r="Q57" s="42"/>
      <c r="R57" s="100"/>
    </row>
    <row r="58" spans="1:20" s="6" customFormat="1" ht="17.25">
      <c r="A58" s="9"/>
      <c r="B58" s="14" t="s">
        <v>28</v>
      </c>
      <c r="C58" s="67"/>
      <c r="D58" s="15">
        <f>D8+D33+D56+D57</f>
        <v>883900.6</v>
      </c>
      <c r="E58" s="15">
        <f>E8+E33+E56+E57</f>
        <v>127650.79599999999</v>
      </c>
      <c r="F58" s="15">
        <f>F8+F33+F56+F57</f>
        <v>145343.25499999998</v>
      </c>
      <c r="G58" s="37">
        <f>F58-E58</f>
        <v>17692.458999999988</v>
      </c>
      <c r="H58" s="38">
        <f>F58/E58*100</f>
        <v>113.86004596477409</v>
      </c>
      <c r="I58" s="28">
        <f>F58-D58</f>
        <v>-738557.345</v>
      </c>
      <c r="J58" s="28">
        <f>F58/D58*100</f>
        <v>16.44339363498565</v>
      </c>
      <c r="K58" s="28">
        <f>F58-96241.42</f>
        <v>49101.83499999998</v>
      </c>
      <c r="L58" s="28">
        <f>F58/96241.42*100</f>
        <v>151.01944152528088</v>
      </c>
      <c r="M58" s="15">
        <f>M8+M33+M56+M57</f>
        <v>65061.3</v>
      </c>
      <c r="N58" s="15">
        <f>N8+N33+N56+N57</f>
        <v>82730.68500000003</v>
      </c>
      <c r="O58" s="41">
        <f>N58-M58</f>
        <v>17669.385000000024</v>
      </c>
      <c r="P58" s="28">
        <f>N58/M58*100</f>
        <v>127.15805709384844</v>
      </c>
      <c r="Q58" s="28">
        <f>N58-34768</f>
        <v>47962.68500000003</v>
      </c>
      <c r="R58" s="128">
        <f>N58/34768</f>
        <v>2.379506586516338</v>
      </c>
      <c r="T58" s="147"/>
    </row>
    <row r="59" spans="1:18" s="53" customFormat="1" ht="17.25" hidden="1">
      <c r="A59" s="50"/>
      <c r="B59" s="60"/>
      <c r="C59" s="68"/>
      <c r="D59" s="51"/>
      <c r="E59" s="51"/>
      <c r="F59" s="88"/>
      <c r="G59" s="82"/>
      <c r="H59" s="52"/>
      <c r="I59" s="59"/>
      <c r="J59" s="39"/>
      <c r="K59" s="39"/>
      <c r="L59" s="39"/>
      <c r="M59" s="52"/>
      <c r="N59" s="51"/>
      <c r="O59" s="85"/>
      <c r="P59" s="39"/>
      <c r="Q59" s="39"/>
      <c r="R59" s="102"/>
    </row>
    <row r="60" spans="1:18" s="53" customFormat="1" ht="17.25" hidden="1">
      <c r="A60" s="50"/>
      <c r="B60" s="61"/>
      <c r="C60" s="68"/>
      <c r="D60" s="62"/>
      <c r="E60" s="51"/>
      <c r="F60" s="88"/>
      <c r="G60" s="45"/>
      <c r="H60" s="52"/>
      <c r="I60" s="63"/>
      <c r="J60" s="39"/>
      <c r="K60" s="39"/>
      <c r="L60" s="39"/>
      <c r="M60" s="32"/>
      <c r="N60" s="51"/>
      <c r="O60" s="64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36"/>
      <c r="F61" s="121"/>
      <c r="G61" s="45"/>
      <c r="H61" s="52"/>
      <c r="I61" s="63"/>
      <c r="J61" s="39"/>
      <c r="K61" s="39"/>
      <c r="L61" s="39"/>
      <c r="M61" s="32"/>
      <c r="N61" s="62"/>
      <c r="O61" s="85"/>
      <c r="P61" s="39"/>
      <c r="Q61" s="39"/>
      <c r="R61" s="102"/>
    </row>
    <row r="62" spans="2:18" ht="15">
      <c r="B62" s="22" t="s">
        <v>138</v>
      </c>
      <c r="C62" s="69"/>
      <c r="D62" s="25"/>
      <c r="E62" s="25"/>
      <c r="F62" s="175"/>
      <c r="G62" s="36"/>
      <c r="H62" s="32"/>
      <c r="I62" s="43"/>
      <c r="J62" s="43"/>
      <c r="K62" s="43"/>
      <c r="L62" s="43"/>
      <c r="M62" s="33"/>
      <c r="N62" s="181"/>
      <c r="O62" s="40"/>
      <c r="P62" s="43"/>
      <c r="Q62" s="43"/>
      <c r="R62" s="103"/>
    </row>
    <row r="63" spans="2:18" ht="25.5" customHeight="1">
      <c r="B63" s="149" t="s">
        <v>112</v>
      </c>
      <c r="C63" s="150">
        <v>12020000</v>
      </c>
      <c r="D63" s="25">
        <v>0</v>
      </c>
      <c r="E63" s="25"/>
      <c r="F63" s="175">
        <v>0</v>
      </c>
      <c r="G63" s="36"/>
      <c r="H63" s="32"/>
      <c r="I63" s="43"/>
      <c r="J63" s="43"/>
      <c r="K63" s="43">
        <f>F63-0</f>
        <v>0</v>
      </c>
      <c r="L63" s="43"/>
      <c r="M63" s="33"/>
      <c r="N63" s="181">
        <f>F63-січень!F63</f>
        <v>-8.75</v>
      </c>
      <c r="O63" s="40"/>
      <c r="P63" s="43"/>
      <c r="Q63" s="43"/>
      <c r="R63" s="103"/>
    </row>
    <row r="64" spans="2:18" ht="30.75">
      <c r="B64" s="23" t="s">
        <v>63</v>
      </c>
      <c r="C64" s="78">
        <v>18041500</v>
      </c>
      <c r="D64" s="25">
        <v>0</v>
      </c>
      <c r="E64" s="25"/>
      <c r="F64" s="175">
        <v>-0.27</v>
      </c>
      <c r="G64" s="36">
        <f>F64-E64</f>
        <v>-0.27</v>
      </c>
      <c r="H64" s="32"/>
      <c r="I64" s="43">
        <f>F64-D64</f>
        <v>-0.27</v>
      </c>
      <c r="J64" s="43"/>
      <c r="K64" s="40">
        <f>F64-14.65</f>
        <v>-14.92</v>
      </c>
      <c r="L64" s="43">
        <f>F64/(-14.65)*100</f>
        <v>1.8430034129692834</v>
      </c>
      <c r="M64" s="32"/>
      <c r="N64" s="181">
        <f>F64-січень!F64</f>
        <v>0</v>
      </c>
      <c r="O64" s="40">
        <f>N64-M64</f>
        <v>0</v>
      </c>
      <c r="P64" s="43"/>
      <c r="Q64" s="43"/>
      <c r="R64" s="103"/>
    </row>
    <row r="65" spans="2:18" ht="15">
      <c r="B65" s="29" t="s">
        <v>46</v>
      </c>
      <c r="C65" s="79"/>
      <c r="D65" s="30">
        <f>D64</f>
        <v>0</v>
      </c>
      <c r="E65" s="30">
        <f>E64</f>
        <v>0</v>
      </c>
      <c r="F65" s="176">
        <f>SUM(F63:F64)</f>
        <v>-0.27</v>
      </c>
      <c r="G65" s="45">
        <f>F65-E65</f>
        <v>-0.27</v>
      </c>
      <c r="H65" s="52"/>
      <c r="I65" s="44">
        <f>F65-D65</f>
        <v>-0.27</v>
      </c>
      <c r="J65" s="44"/>
      <c r="K65" s="44">
        <f>F65-(-14.65)</f>
        <v>14.38</v>
      </c>
      <c r="L65" s="44">
        <f>F65/(-14.65)*100</f>
        <v>1.8430034129692834</v>
      </c>
      <c r="M65" s="45">
        <f>M64</f>
        <v>0</v>
      </c>
      <c r="N65" s="182">
        <f>SUM(N63:N64)</f>
        <v>-8.75</v>
      </c>
      <c r="O65" s="44">
        <f>N65-M65</f>
        <v>-8.75</v>
      </c>
      <c r="P65" s="44"/>
      <c r="Q65" s="44"/>
      <c r="R65" s="104"/>
    </row>
    <row r="66" spans="2:18" ht="46.5" hidden="1">
      <c r="B66" s="23" t="s">
        <v>38</v>
      </c>
      <c r="C66" s="79">
        <v>21110000</v>
      </c>
      <c r="D66" s="25">
        <v>0</v>
      </c>
      <c r="E66" s="25"/>
      <c r="F66" s="175">
        <v>0</v>
      </c>
      <c r="G66" s="36" t="e">
        <f>#N/A</f>
        <v>#N/A</v>
      </c>
      <c r="H66" s="32" t="e">
        <f>F66/E66*100</f>
        <v>#DIV/0!</v>
      </c>
      <c r="I66" s="43" t="e">
        <f>#N/A</f>
        <v>#N/A</v>
      </c>
      <c r="J66" s="43" t="e">
        <f>#N/A</f>
        <v>#N/A</v>
      </c>
      <c r="K66" s="43"/>
      <c r="L66" s="43"/>
      <c r="M66" s="33">
        <v>0</v>
      </c>
      <c r="N66" s="181">
        <f>F66</f>
        <v>0</v>
      </c>
      <c r="O66" s="40" t="e">
        <f>#N/A</f>
        <v>#N/A</v>
      </c>
      <c r="P66" s="43"/>
      <c r="Q66" s="43"/>
      <c r="R66" s="103"/>
    </row>
    <row r="67" spans="2:18" ht="30.75">
      <c r="B67" s="23" t="s">
        <v>30</v>
      </c>
      <c r="C67" s="78">
        <v>31030000</v>
      </c>
      <c r="D67" s="25">
        <v>4200</v>
      </c>
      <c r="E67" s="25">
        <v>0</v>
      </c>
      <c r="F67" s="175">
        <v>0.1</v>
      </c>
      <c r="G67" s="36">
        <f aca="true" t="shared" si="15" ref="G67:G77">F67-E67</f>
        <v>0.1</v>
      </c>
      <c r="H67" s="32"/>
      <c r="I67" s="43">
        <f aca="true" t="shared" si="16" ref="I67:I77">F67-D67</f>
        <v>-4199.9</v>
      </c>
      <c r="J67" s="43">
        <f>F67/D67*100</f>
        <v>0.002380952380952381</v>
      </c>
      <c r="K67" s="43">
        <f>F67-0.08</f>
        <v>0.020000000000000004</v>
      </c>
      <c r="L67" s="43">
        <f>F67/0.08*100</f>
        <v>125</v>
      </c>
      <c r="M67" s="32">
        <v>0</v>
      </c>
      <c r="N67" s="178">
        <f>F67-січень!F67</f>
        <v>0.04000000000000001</v>
      </c>
      <c r="O67" s="40">
        <f aca="true" t="shared" si="17" ref="O67:O80">N67-M67</f>
        <v>0.04000000000000001</v>
      </c>
      <c r="P67" s="43"/>
      <c r="Q67" s="43"/>
      <c r="R67" s="103"/>
    </row>
    <row r="68" spans="2:18" ht="15">
      <c r="B68" s="23" t="s">
        <v>31</v>
      </c>
      <c r="C68" s="78">
        <v>33010000</v>
      </c>
      <c r="D68" s="25">
        <v>7459</v>
      </c>
      <c r="E68" s="25">
        <v>1132.4</v>
      </c>
      <c r="F68" s="175">
        <v>376.67</v>
      </c>
      <c r="G68" s="36">
        <f t="shared" si="15"/>
        <v>-755.73</v>
      </c>
      <c r="H68" s="32">
        <f>F68/E68*100</f>
        <v>33.2629812787001</v>
      </c>
      <c r="I68" s="43">
        <f t="shared" si="16"/>
        <v>-7082.33</v>
      </c>
      <c r="J68" s="43">
        <f>F68/D68*100</f>
        <v>5.049872637082719</v>
      </c>
      <c r="K68" s="43">
        <f>F68-414.12</f>
        <v>-37.44999999999999</v>
      </c>
      <c r="L68" s="43">
        <f>F68/414.12*100</f>
        <v>90.95672751859365</v>
      </c>
      <c r="M68" s="32">
        <v>1109.5</v>
      </c>
      <c r="N68" s="178">
        <f>F68-січень!F68</f>
        <v>353.76</v>
      </c>
      <c r="O68" s="40">
        <f t="shared" si="17"/>
        <v>-755.74</v>
      </c>
      <c r="P68" s="43">
        <f>N68/M68*100</f>
        <v>31.884632717440287</v>
      </c>
      <c r="Q68" s="43"/>
      <c r="R68" s="103"/>
    </row>
    <row r="69" spans="2:18" ht="30.75">
      <c r="B69" s="23" t="s">
        <v>55</v>
      </c>
      <c r="C69" s="78">
        <v>24170000</v>
      </c>
      <c r="D69" s="25">
        <v>6000</v>
      </c>
      <c r="E69" s="25">
        <v>584.85</v>
      </c>
      <c r="F69" s="175">
        <v>646.84</v>
      </c>
      <c r="G69" s="36">
        <f t="shared" si="15"/>
        <v>61.99000000000001</v>
      </c>
      <c r="H69" s="32">
        <f>F69/E69*100</f>
        <v>110.59929896554672</v>
      </c>
      <c r="I69" s="43">
        <f t="shared" si="16"/>
        <v>-5353.16</v>
      </c>
      <c r="J69" s="43">
        <f>F69/D69*100</f>
        <v>10.780666666666667</v>
      </c>
      <c r="K69" s="43">
        <f>F69-(-1.6)</f>
        <v>648.44</v>
      </c>
      <c r="L69" s="43">
        <f>F69/(-1.6)*100</f>
        <v>-40427.5</v>
      </c>
      <c r="M69" s="32">
        <v>302</v>
      </c>
      <c r="N69" s="178">
        <f>F69-січень!F69</f>
        <v>363.99</v>
      </c>
      <c r="O69" s="40">
        <f t="shared" si="17"/>
        <v>61.99000000000001</v>
      </c>
      <c r="P69" s="43">
        <f>N69/M69*100</f>
        <v>120.52649006622518</v>
      </c>
      <c r="Q69" s="43"/>
      <c r="R69" s="103"/>
    </row>
    <row r="70" spans="2:18" ht="15">
      <c r="B70" s="23" t="s">
        <v>113</v>
      </c>
      <c r="C70" s="78">
        <v>24110700</v>
      </c>
      <c r="D70" s="25">
        <v>12</v>
      </c>
      <c r="E70" s="25">
        <v>2</v>
      </c>
      <c r="F70" s="175">
        <v>2</v>
      </c>
      <c r="G70" s="36">
        <f t="shared" si="15"/>
        <v>0</v>
      </c>
      <c r="H70" s="32">
        <f>F70/E70*100</f>
        <v>100</v>
      </c>
      <c r="I70" s="43">
        <f t="shared" si="16"/>
        <v>-10</v>
      </c>
      <c r="J70" s="43">
        <f>F70/D70*100</f>
        <v>16.666666666666664</v>
      </c>
      <c r="K70" s="43">
        <f>F70-0</f>
        <v>2</v>
      </c>
      <c r="L70" s="43"/>
      <c r="M70" s="32">
        <v>1</v>
      </c>
      <c r="N70" s="178">
        <f>F70-січень!F70</f>
        <v>1</v>
      </c>
      <c r="O70" s="40">
        <f t="shared" si="17"/>
        <v>0</v>
      </c>
      <c r="P70" s="43">
        <f>N70/M70*100</f>
        <v>100</v>
      </c>
      <c r="Q70" s="43"/>
      <c r="R70" s="151"/>
    </row>
    <row r="71" spans="2:18" ht="33">
      <c r="B71" s="29" t="s">
        <v>52</v>
      </c>
      <c r="C71" s="70"/>
      <c r="D71" s="30">
        <f>D67+D68+D69+D70</f>
        <v>17671</v>
      </c>
      <c r="E71" s="30">
        <f>E67+E68+E69+E70</f>
        <v>1719.25</v>
      </c>
      <c r="F71" s="176">
        <f>F67+F68+F69+F70</f>
        <v>1025.6100000000001</v>
      </c>
      <c r="G71" s="45">
        <f t="shared" si="15"/>
        <v>-693.6399999999999</v>
      </c>
      <c r="H71" s="52">
        <f>F71/E71*100</f>
        <v>59.65450050894287</v>
      </c>
      <c r="I71" s="44">
        <f t="shared" si="16"/>
        <v>-16645.39</v>
      </c>
      <c r="J71" s="44">
        <f>F71/D71*100</f>
        <v>5.803916020598722</v>
      </c>
      <c r="K71" s="44">
        <f>F71-412.6</f>
        <v>613.0100000000001</v>
      </c>
      <c r="L71" s="44">
        <f>F71/412.6*100</f>
        <v>248.57246728065925</v>
      </c>
      <c r="M71" s="45">
        <f>M67+M68+M69+M70</f>
        <v>1412.5</v>
      </c>
      <c r="N71" s="183">
        <f>N67+N68+N69+N70</f>
        <v>718.79</v>
      </c>
      <c r="O71" s="44">
        <f t="shared" si="17"/>
        <v>-693.71</v>
      </c>
      <c r="P71" s="44">
        <f>N71/M71*100</f>
        <v>50.88778761061946</v>
      </c>
      <c r="Q71" s="44"/>
      <c r="R71" s="129"/>
    </row>
    <row r="72" spans="2:18" ht="46.5">
      <c r="B72" s="12" t="s">
        <v>41</v>
      </c>
      <c r="C72" s="80">
        <v>24062100</v>
      </c>
      <c r="D72" s="25">
        <v>1</v>
      </c>
      <c r="E72" s="25"/>
      <c r="F72" s="175">
        <v>0.01</v>
      </c>
      <c r="G72" s="36">
        <f t="shared" si="15"/>
        <v>0.01</v>
      </c>
      <c r="H72" s="32"/>
      <c r="I72" s="43">
        <f t="shared" si="16"/>
        <v>-0.99</v>
      </c>
      <c r="J72" s="43"/>
      <c r="K72" s="43">
        <f>F72-0</f>
        <v>0.01</v>
      </c>
      <c r="L72" s="43"/>
      <c r="M72" s="32"/>
      <c r="N72" s="178">
        <f>F72-січень!F72</f>
        <v>0.01</v>
      </c>
      <c r="O72" s="40">
        <f t="shared" si="17"/>
        <v>0.01</v>
      </c>
      <c r="P72" s="43"/>
      <c r="Q72" s="43"/>
      <c r="R72" s="103"/>
    </row>
    <row r="73" spans="2:18" ht="15" hidden="1">
      <c r="B73" s="23" t="s">
        <v>53</v>
      </c>
      <c r="C73" s="78">
        <v>24061600</v>
      </c>
      <c r="D73" s="25">
        <v>0</v>
      </c>
      <c r="E73" s="25">
        <v>0</v>
      </c>
      <c r="F73" s="175">
        <v>0</v>
      </c>
      <c r="G73" s="36">
        <f t="shared" si="15"/>
        <v>0</v>
      </c>
      <c r="H73" s="32"/>
      <c r="I73" s="43">
        <f t="shared" si="16"/>
        <v>0</v>
      </c>
      <c r="J73" s="46"/>
      <c r="K73" s="40">
        <f>F73-0</f>
        <v>0</v>
      </c>
      <c r="L73" s="43">
        <f>F73/19.48*100</f>
        <v>0</v>
      </c>
      <c r="M73" s="32">
        <f>E73-січень!E73</f>
        <v>0</v>
      </c>
      <c r="N73" s="178">
        <f>F73-січень!F73</f>
        <v>0</v>
      </c>
      <c r="O73" s="40">
        <f t="shared" si="17"/>
        <v>0</v>
      </c>
      <c r="P73" s="46"/>
      <c r="Q73" s="46"/>
      <c r="R73" s="105"/>
    </row>
    <row r="74" spans="2:18" ht="15">
      <c r="B74" s="23" t="s">
        <v>47</v>
      </c>
      <c r="C74" s="78">
        <v>19010000</v>
      </c>
      <c r="D74" s="25">
        <v>9500</v>
      </c>
      <c r="E74" s="25">
        <v>2004.9</v>
      </c>
      <c r="F74" s="175">
        <v>2013.66</v>
      </c>
      <c r="G74" s="36">
        <f t="shared" si="15"/>
        <v>8.759999999999991</v>
      </c>
      <c r="H74" s="32">
        <f>F74/E74*100</f>
        <v>100.43692952266944</v>
      </c>
      <c r="I74" s="43">
        <f t="shared" si="16"/>
        <v>-7486.34</v>
      </c>
      <c r="J74" s="40">
        <f>F74/D74*100</f>
        <v>21.19642105263158</v>
      </c>
      <c r="K74" s="40">
        <f>F74-0</f>
        <v>2013.66</v>
      </c>
      <c r="L74" s="43"/>
      <c r="M74" s="32">
        <v>2004.9</v>
      </c>
      <c r="N74" s="178">
        <f>F74</f>
        <v>2013.66</v>
      </c>
      <c r="O74" s="40">
        <f>N74-M74</f>
        <v>8.759999999999991</v>
      </c>
      <c r="P74" s="46">
        <f>N74/M74*100</f>
        <v>100.43692952266944</v>
      </c>
      <c r="Q74" s="46"/>
      <c r="R74" s="105"/>
    </row>
    <row r="75" spans="2:18" ht="30.75">
      <c r="B75" s="23" t="s">
        <v>51</v>
      </c>
      <c r="C75" s="78">
        <v>19050000</v>
      </c>
      <c r="D75" s="25">
        <v>0</v>
      </c>
      <c r="E75" s="25"/>
      <c r="F75" s="175">
        <v>0.16</v>
      </c>
      <c r="G75" s="36">
        <f t="shared" si="15"/>
        <v>0.16</v>
      </c>
      <c r="H75" s="32"/>
      <c r="I75" s="43">
        <f t="shared" si="16"/>
        <v>0.16</v>
      </c>
      <c r="J75" s="43"/>
      <c r="K75" s="43">
        <f>F75-0.49</f>
        <v>-0.32999999999999996</v>
      </c>
      <c r="L75" s="43">
        <f>F75/0.49*100</f>
        <v>32.6530612244898</v>
      </c>
      <c r="M75" s="32"/>
      <c r="N75" s="178">
        <f>F75-січень!F74</f>
        <v>0.04000000000000001</v>
      </c>
      <c r="O75" s="40">
        <f t="shared" si="17"/>
        <v>0.04000000000000001</v>
      </c>
      <c r="P75" s="43"/>
      <c r="Q75" s="43"/>
      <c r="R75" s="103"/>
    </row>
    <row r="76" spans="2:18" ht="30">
      <c r="B76" s="29" t="s">
        <v>48</v>
      </c>
      <c r="C76" s="78"/>
      <c r="D76" s="30">
        <f>D72+D75+D73+D74</f>
        <v>9501</v>
      </c>
      <c r="E76" s="30">
        <f>E72+E75+E73+E74</f>
        <v>2004.9</v>
      </c>
      <c r="F76" s="176">
        <f>F72+F75+F73+F74</f>
        <v>2013.8300000000002</v>
      </c>
      <c r="G76" s="30">
        <f>G72+G75+G73+G74</f>
        <v>8.92999999999999</v>
      </c>
      <c r="H76" s="52">
        <f>F76/E76*100</f>
        <v>100.44540874856602</v>
      </c>
      <c r="I76" s="44">
        <f t="shared" si="16"/>
        <v>-7487.17</v>
      </c>
      <c r="J76" s="44">
        <f>F76/D76*100</f>
        <v>21.19597937059257</v>
      </c>
      <c r="K76" s="44">
        <f>F76-0.49</f>
        <v>2013.3400000000001</v>
      </c>
      <c r="L76" s="44">
        <f>F76/0.49*100</f>
        <v>410985.7142857143</v>
      </c>
      <c r="M76" s="45">
        <f>M72+M75+M73+M74</f>
        <v>2004.9</v>
      </c>
      <c r="N76" s="183">
        <f>N72+N75+N73+N74</f>
        <v>2013.71</v>
      </c>
      <c r="O76" s="45">
        <f>O72+O75+O73+O74</f>
        <v>8.809999999999992</v>
      </c>
      <c r="P76" s="44">
        <f>N76/M76*100</f>
        <v>100.43942341263903</v>
      </c>
      <c r="Q76" s="44"/>
      <c r="R76" s="102"/>
    </row>
    <row r="77" spans="2:18" ht="30.75">
      <c r="B77" s="12" t="s">
        <v>42</v>
      </c>
      <c r="C77" s="48">
        <v>24110900</v>
      </c>
      <c r="D77" s="25">
        <v>43</v>
      </c>
      <c r="E77" s="25">
        <v>0.72</v>
      </c>
      <c r="F77" s="175">
        <v>0.69</v>
      </c>
      <c r="G77" s="36">
        <f t="shared" si="15"/>
        <v>-0.030000000000000027</v>
      </c>
      <c r="H77" s="32">
        <f>F77/E77*100</f>
        <v>95.83333333333333</v>
      </c>
      <c r="I77" s="43">
        <f t="shared" si="16"/>
        <v>-42.31</v>
      </c>
      <c r="J77" s="43">
        <f>F77/D77*100</f>
        <v>1.6046511627906976</v>
      </c>
      <c r="K77" s="43">
        <f>F77-0.96</f>
        <v>-0.27</v>
      </c>
      <c r="L77" s="43">
        <f>F77/0.96*100</f>
        <v>71.875</v>
      </c>
      <c r="M77" s="32">
        <v>0.375</v>
      </c>
      <c r="N77" s="178">
        <f>F77-січень!F76</f>
        <v>0.33999999999999997</v>
      </c>
      <c r="O77" s="40">
        <f t="shared" si="17"/>
        <v>-0.03500000000000003</v>
      </c>
      <c r="P77" s="43">
        <f>N77/M77</f>
        <v>0.9066666666666666</v>
      </c>
      <c r="Q77" s="43"/>
      <c r="R77" s="103"/>
    </row>
    <row r="78" spans="2:18" ht="15" hidden="1">
      <c r="B78" s="137"/>
      <c r="C78" s="48"/>
      <c r="D78" s="25"/>
      <c r="E78" s="25"/>
      <c r="F78" s="120"/>
      <c r="G78" s="36"/>
      <c r="H78" s="32"/>
      <c r="I78" s="43"/>
      <c r="J78" s="43"/>
      <c r="K78" s="43">
        <f>F78-0</f>
        <v>0</v>
      </c>
      <c r="L78" s="43"/>
      <c r="M78" s="32">
        <f>E78</f>
        <v>0</v>
      </c>
      <c r="N78" s="32">
        <f>F78</f>
        <v>0</v>
      </c>
      <c r="O78" s="40">
        <f t="shared" si="17"/>
        <v>0</v>
      </c>
      <c r="P78" s="43"/>
      <c r="Q78" s="43"/>
      <c r="R78" s="103"/>
    </row>
    <row r="79" spans="2:18" ht="23.25" customHeight="1">
      <c r="B79" s="14" t="s">
        <v>32</v>
      </c>
      <c r="C79" s="71"/>
      <c r="D79" s="24">
        <f>D65+D77+D71+D76</f>
        <v>27215</v>
      </c>
      <c r="E79" s="24">
        <f>E65+E77+E71+E76</f>
        <v>3724.87</v>
      </c>
      <c r="F79" s="24">
        <f>F65+F77+F71+F76+F78</f>
        <v>3039.8600000000006</v>
      </c>
      <c r="G79" s="37">
        <f>F79-E79</f>
        <v>-685.0099999999993</v>
      </c>
      <c r="H79" s="38">
        <f>F79/E79*100</f>
        <v>81.60982799399711</v>
      </c>
      <c r="I79" s="28">
        <f>F79-D79</f>
        <v>-24175.14</v>
      </c>
      <c r="J79" s="28">
        <f>F79/D79*100</f>
        <v>11.169796068344665</v>
      </c>
      <c r="K79" s="28">
        <f>K65+K71+K76+K77</f>
        <v>2640.4600000000005</v>
      </c>
      <c r="L79" s="28">
        <f>F79/399.4*100</f>
        <v>761.1066599899851</v>
      </c>
      <c r="M79" s="24">
        <f>M65+M77+M71+M76</f>
        <v>3417.775</v>
      </c>
      <c r="N79" s="165">
        <f>N65+N77+N71+N76+N78</f>
        <v>2724.09</v>
      </c>
      <c r="O79" s="28">
        <f t="shared" si="17"/>
        <v>-693.685</v>
      </c>
      <c r="P79" s="28">
        <f>N79/M79*100</f>
        <v>79.70360834168429</v>
      </c>
      <c r="Q79" s="28">
        <f>N79-8104.96</f>
        <v>-5380.87</v>
      </c>
      <c r="R79" s="101">
        <f>N79/8104.96</f>
        <v>0.3361015970467467</v>
      </c>
    </row>
    <row r="80" spans="2:18" ht="17.25">
      <c r="B80" s="21" t="s">
        <v>33</v>
      </c>
      <c r="C80" s="71"/>
      <c r="D80" s="24">
        <f>D58+D79</f>
        <v>911115.6</v>
      </c>
      <c r="E80" s="24">
        <f>E58+E79</f>
        <v>131375.666</v>
      </c>
      <c r="F80" s="24">
        <f>F58+F79</f>
        <v>148383.115</v>
      </c>
      <c r="G80" s="37">
        <f>F80-E80</f>
        <v>17007.448999999993</v>
      </c>
      <c r="H80" s="38">
        <f>F80/E80*100</f>
        <v>112.94566148954861</v>
      </c>
      <c r="I80" s="28">
        <f>F80-D80</f>
        <v>-762732.485</v>
      </c>
      <c r="J80" s="28">
        <f>F80/D80*100</f>
        <v>16.285871408633547</v>
      </c>
      <c r="K80" s="28">
        <f>K58+K79</f>
        <v>51742.29499999998</v>
      </c>
      <c r="L80" s="28">
        <f>F80/96640.82*100</f>
        <v>153.54082777857224</v>
      </c>
      <c r="M80" s="15">
        <f>M58+M79</f>
        <v>68479.075</v>
      </c>
      <c r="N80" s="15">
        <f>N58+N79</f>
        <v>85454.77500000002</v>
      </c>
      <c r="O80" s="28">
        <f t="shared" si="17"/>
        <v>16975.700000000026</v>
      </c>
      <c r="P80" s="28">
        <f>N80/M80*100</f>
        <v>124.7896163901163</v>
      </c>
      <c r="Q80" s="28">
        <f>N80-42872.96</f>
        <v>42581.815000000024</v>
      </c>
      <c r="R80" s="101">
        <f>N80/42872.96</f>
        <v>1.9932091229530227</v>
      </c>
    </row>
    <row r="81" spans="2:14" ht="15">
      <c r="B81" s="20" t="s">
        <v>35</v>
      </c>
      <c r="N81" s="26"/>
    </row>
    <row r="82" spans="2:14" ht="15">
      <c r="B82" s="4" t="s">
        <v>37</v>
      </c>
      <c r="C82" s="81">
        <v>0</v>
      </c>
      <c r="D82" s="4" t="s">
        <v>36</v>
      </c>
      <c r="N82" s="83"/>
    </row>
    <row r="83" spans="2:17" ht="30.75">
      <c r="B83" s="57" t="s">
        <v>54</v>
      </c>
      <c r="C83" s="31">
        <f>IF(O58&lt;0,ABS(O58/C82),0)</f>
        <v>0</v>
      </c>
      <c r="D83" s="4" t="s">
        <v>24</v>
      </c>
      <c r="G83" s="294"/>
      <c r="H83" s="294"/>
      <c r="I83" s="294"/>
      <c r="J83" s="294"/>
      <c r="K83" s="90"/>
      <c r="L83" s="90"/>
      <c r="P83" s="26"/>
      <c r="Q83" s="26"/>
    </row>
    <row r="84" spans="2:15" ht="34.5" customHeight="1">
      <c r="B84" s="58" t="s">
        <v>56</v>
      </c>
      <c r="C84" s="87">
        <v>42429</v>
      </c>
      <c r="D84" s="31">
        <v>13464</v>
      </c>
      <c r="G84" s="4" t="s">
        <v>59</v>
      </c>
      <c r="N84" s="286"/>
      <c r="O84" s="286"/>
    </row>
    <row r="85" spans="3:15" ht="15">
      <c r="C85" s="87">
        <v>42426</v>
      </c>
      <c r="D85" s="31">
        <v>6256.2</v>
      </c>
      <c r="F85" s="124" t="s">
        <v>59</v>
      </c>
      <c r="G85" s="280"/>
      <c r="H85" s="280"/>
      <c r="I85" s="131"/>
      <c r="J85" s="283"/>
      <c r="K85" s="283"/>
      <c r="L85" s="283"/>
      <c r="M85" s="283"/>
      <c r="N85" s="286"/>
      <c r="O85" s="286"/>
    </row>
    <row r="86" spans="3:15" ht="15.75" customHeight="1">
      <c r="C86" s="87">
        <v>42425</v>
      </c>
      <c r="D86" s="31">
        <v>3536.9</v>
      </c>
      <c r="F86" s="73"/>
      <c r="G86" s="280"/>
      <c r="H86" s="280"/>
      <c r="I86" s="131"/>
      <c r="J86" s="287"/>
      <c r="K86" s="287"/>
      <c r="L86" s="287"/>
      <c r="M86" s="287"/>
      <c r="N86" s="286"/>
      <c r="O86" s="286"/>
    </row>
    <row r="87" spans="3:13" ht="15.75" customHeight="1">
      <c r="C87" s="87"/>
      <c r="F87" s="73"/>
      <c r="G87" s="282"/>
      <c r="H87" s="282"/>
      <c r="I87" s="139"/>
      <c r="J87" s="283"/>
      <c r="K87" s="283"/>
      <c r="L87" s="283"/>
      <c r="M87" s="283"/>
    </row>
    <row r="88" spans="2:13" ht="18.75" customHeight="1">
      <c r="B88" s="284" t="s">
        <v>57</v>
      </c>
      <c r="C88" s="285"/>
      <c r="D88" s="148">
        <v>505.3</v>
      </c>
      <c r="E88" s="74"/>
      <c r="F88" s="140" t="s">
        <v>137</v>
      </c>
      <c r="G88" s="280"/>
      <c r="H88" s="280"/>
      <c r="I88" s="141"/>
      <c r="J88" s="283"/>
      <c r="K88" s="283"/>
      <c r="L88" s="283"/>
      <c r="M88" s="283"/>
    </row>
    <row r="89" spans="6:12" ht="9.75" customHeight="1">
      <c r="F89" s="73"/>
      <c r="G89" s="280"/>
      <c r="H89" s="280"/>
      <c r="I89" s="73"/>
      <c r="J89" s="74"/>
      <c r="K89" s="74"/>
      <c r="L89" s="74"/>
    </row>
    <row r="90" spans="2:12" ht="22.5" customHeight="1" hidden="1">
      <c r="B90" s="278" t="s">
        <v>60</v>
      </c>
      <c r="C90" s="279"/>
      <c r="D90" s="86">
        <v>0</v>
      </c>
      <c r="E90" s="56" t="s">
        <v>24</v>
      </c>
      <c r="F90" s="73"/>
      <c r="G90" s="280"/>
      <c r="H90" s="280"/>
      <c r="I90" s="73"/>
      <c r="J90" s="74"/>
      <c r="K90" s="74"/>
      <c r="L90" s="74"/>
    </row>
    <row r="91" spans="4:15" ht="15">
      <c r="D91" s="84"/>
      <c r="F91" s="73"/>
      <c r="G91" s="74"/>
      <c r="H91" s="74"/>
      <c r="I91" s="74"/>
      <c r="N91" s="280"/>
      <c r="O91" s="280"/>
    </row>
    <row r="92" spans="4:15" ht="15">
      <c r="D92" s="83"/>
      <c r="I92" s="31"/>
      <c r="N92" s="281"/>
      <c r="O92" s="281"/>
    </row>
    <row r="93" spans="14:15" ht="15">
      <c r="N93" s="280"/>
      <c r="O93" s="280"/>
    </row>
    <row r="97" ht="15">
      <c r="E97" s="4" t="s">
        <v>59</v>
      </c>
    </row>
  </sheetData>
  <sheetProtection/>
  <mergeCells count="39">
    <mergeCell ref="B90:C90"/>
    <mergeCell ref="G90:H90"/>
    <mergeCell ref="N91:O91"/>
    <mergeCell ref="N92:O92"/>
    <mergeCell ref="N93:O93"/>
    <mergeCell ref="G87:H87"/>
    <mergeCell ref="J87:M87"/>
    <mergeCell ref="B88:C88"/>
    <mergeCell ref="G88:H88"/>
    <mergeCell ref="J88:M88"/>
    <mergeCell ref="G89:H89"/>
    <mergeCell ref="G85:H85"/>
    <mergeCell ref="J85:M85"/>
    <mergeCell ref="N85:O85"/>
    <mergeCell ref="G86:H86"/>
    <mergeCell ref="J86:M86"/>
    <mergeCell ref="N86:O86"/>
    <mergeCell ref="O4:O5"/>
    <mergeCell ref="P4:P5"/>
    <mergeCell ref="K5:L5"/>
    <mergeCell ref="Q5:R5"/>
    <mergeCell ref="G83:J83"/>
    <mergeCell ref="N84:O84"/>
    <mergeCell ref="F4:F5"/>
    <mergeCell ref="G4:G5"/>
    <mergeCell ref="H4:H5"/>
    <mergeCell ref="I4:I5"/>
    <mergeCell ref="J4:J5"/>
    <mergeCell ref="N4:N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1968503937007874" right="0.1968503937007874" top="0.1968503937007874" bottom="0.1968503937007874" header="0.1968503937007874" footer="0.1968503937007874"/>
  <pageSetup fitToHeight="2" fitToWidth="1" orientation="portrait" paperSize="9" scale="4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97"/>
  <sheetViews>
    <sheetView zoomScale="73" zoomScaleNormal="73" zoomScalePageLayoutView="0" workbookViewId="0" topLeftCell="B45">
      <selection activeCell="G55" sqref="G55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1.253906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9.125" style="4" customWidth="1"/>
    <col min="11" max="11" width="12.25390625" style="4" customWidth="1"/>
    <col min="12" max="12" width="10.00390625" style="4" customWidth="1"/>
    <col min="13" max="13" width="12.00390625" style="4" hidden="1" customWidth="1"/>
    <col min="14" max="14" width="11.00390625" style="4" hidden="1" customWidth="1"/>
    <col min="15" max="15" width="10.875" style="4" hidden="1" customWidth="1"/>
    <col min="16" max="17" width="11.00390625" style="4" hidden="1" customWidth="1"/>
    <col min="18" max="18" width="11.00390625" style="95" hidden="1" customWidth="1"/>
    <col min="19" max="16384" width="9.125" style="4" customWidth="1"/>
  </cols>
  <sheetData>
    <row r="1" spans="1:18" s="1" customFormat="1" ht="26.25" customHeight="1">
      <c r="A1" s="301" t="s">
        <v>114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301"/>
      <c r="O1" s="301"/>
      <c r="P1" s="301"/>
      <c r="Q1" s="92"/>
      <c r="R1" s="93"/>
    </row>
    <row r="2" spans="2:18" s="1" customFormat="1" ht="15.75" customHeight="1">
      <c r="B2" s="319"/>
      <c r="C2" s="319"/>
      <c r="D2" s="319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303"/>
      <c r="B3" s="305" t="s">
        <v>135</v>
      </c>
      <c r="C3" s="306" t="s">
        <v>0</v>
      </c>
      <c r="D3" s="307" t="s">
        <v>121</v>
      </c>
      <c r="E3" s="34"/>
      <c r="F3" s="308" t="s">
        <v>26</v>
      </c>
      <c r="G3" s="309"/>
      <c r="H3" s="309"/>
      <c r="I3" s="309"/>
      <c r="J3" s="310"/>
      <c r="K3" s="89"/>
      <c r="L3" s="89"/>
      <c r="M3" s="320" t="s">
        <v>132</v>
      </c>
      <c r="N3" s="312" t="s">
        <v>66</v>
      </c>
      <c r="O3" s="312"/>
      <c r="P3" s="312"/>
      <c r="Q3" s="312"/>
      <c r="R3" s="312"/>
    </row>
    <row r="4" spans="1:18" ht="22.5" customHeight="1">
      <c r="A4" s="303"/>
      <c r="B4" s="305"/>
      <c r="C4" s="306"/>
      <c r="D4" s="307"/>
      <c r="E4" s="313" t="s">
        <v>129</v>
      </c>
      <c r="F4" s="317" t="s">
        <v>34</v>
      </c>
      <c r="G4" s="288" t="s">
        <v>130</v>
      </c>
      <c r="H4" s="297" t="s">
        <v>131</v>
      </c>
      <c r="I4" s="288" t="s">
        <v>122</v>
      </c>
      <c r="J4" s="297" t="s">
        <v>123</v>
      </c>
      <c r="K4" s="91" t="s">
        <v>65</v>
      </c>
      <c r="L4" s="96" t="s">
        <v>64</v>
      </c>
      <c r="M4" s="297"/>
      <c r="N4" s="321" t="s">
        <v>133</v>
      </c>
      <c r="O4" s="288" t="s">
        <v>50</v>
      </c>
      <c r="P4" s="290" t="s">
        <v>49</v>
      </c>
      <c r="Q4" s="97" t="s">
        <v>65</v>
      </c>
      <c r="R4" s="98" t="s">
        <v>64</v>
      </c>
    </row>
    <row r="5" spans="1:18" ht="92.25" customHeight="1">
      <c r="A5" s="304"/>
      <c r="B5" s="305"/>
      <c r="C5" s="306"/>
      <c r="D5" s="307"/>
      <c r="E5" s="314"/>
      <c r="F5" s="318"/>
      <c r="G5" s="289"/>
      <c r="H5" s="298"/>
      <c r="I5" s="289"/>
      <c r="J5" s="298"/>
      <c r="K5" s="291" t="s">
        <v>134</v>
      </c>
      <c r="L5" s="293"/>
      <c r="M5" s="298"/>
      <c r="N5" s="322"/>
      <c r="O5" s="289"/>
      <c r="P5" s="290"/>
      <c r="Q5" s="291" t="s">
        <v>120</v>
      </c>
      <c r="R5" s="293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23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0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23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99"/>
    </row>
    <row r="8" spans="1:18" s="6" customFormat="1" ht="17.25">
      <c r="A8" s="7"/>
      <c r="B8" s="16" t="s">
        <v>9</v>
      </c>
      <c r="C8" s="75" t="s">
        <v>10</v>
      </c>
      <c r="D8" s="15">
        <f>D9+D15+D18+D19+D20+D32+D17</f>
        <v>841050</v>
      </c>
      <c r="E8" s="15">
        <f>E9+E15+E18+E19+E20+E32+E17</f>
        <v>60560.8</v>
      </c>
      <c r="F8" s="15">
        <f>F9+F15+F18+F19+F20+F32+F17</f>
        <v>60580.63</v>
      </c>
      <c r="G8" s="15">
        <f aca="true" t="shared" si="0" ref="G8:G21">F8-E8</f>
        <v>19.82999999999447</v>
      </c>
      <c r="H8" s="38">
        <f>F8/E8*100</f>
        <v>100.03274395318422</v>
      </c>
      <c r="I8" s="28">
        <f>F8-D8</f>
        <v>-780469.37</v>
      </c>
      <c r="J8" s="28">
        <f>F8/D8*100</f>
        <v>7.202976041852446</v>
      </c>
      <c r="K8" s="15">
        <f>K9+K15+K18+K19+K20+K32</f>
        <v>22866.319999999996</v>
      </c>
      <c r="L8" s="15"/>
      <c r="M8" s="15">
        <f>M9+M15+M18+M19+M20+M32+M17</f>
        <v>60560.8</v>
      </c>
      <c r="N8" s="15">
        <f>N9+N15+N18+N19+N20+N32+N17</f>
        <v>60580.63</v>
      </c>
      <c r="O8" s="15">
        <f>N8-M8</f>
        <v>19.82999999999447</v>
      </c>
      <c r="P8" s="15">
        <f>N8/M8*100</f>
        <v>100.03274395318422</v>
      </c>
      <c r="Q8" s="15" t="e">
        <f>#N/A</f>
        <v>#N/A</v>
      </c>
      <c r="R8" s="15" t="e">
        <f>#N/A</f>
        <v>#N/A</v>
      </c>
    </row>
    <row r="9" spans="1:18" s="6" customFormat="1" ht="15">
      <c r="A9" s="8"/>
      <c r="B9" s="13" t="s">
        <v>82</v>
      </c>
      <c r="C9" s="48">
        <v>11010000</v>
      </c>
      <c r="D9" s="33">
        <v>459700</v>
      </c>
      <c r="E9" s="33">
        <v>30213.265</v>
      </c>
      <c r="F9" s="157">
        <v>30213.27</v>
      </c>
      <c r="G9" s="36">
        <f t="shared" si="0"/>
        <v>0.005000000001018634</v>
      </c>
      <c r="H9" s="32">
        <f>F9/E9*100</f>
        <v>100.00001654902242</v>
      </c>
      <c r="I9" s="42">
        <f>F9-D9</f>
        <v>-429486.73</v>
      </c>
      <c r="J9" s="42">
        <f>F9/D9*100</f>
        <v>6.572388514248423</v>
      </c>
      <c r="K9" s="106">
        <f>F9-23209.38</f>
        <v>7003.889999999999</v>
      </c>
      <c r="L9" s="106">
        <f>F9/23209.38*100</f>
        <v>130.17698016922466</v>
      </c>
      <c r="M9" s="33">
        <v>30213.265</v>
      </c>
      <c r="N9" s="157">
        <v>30213.27</v>
      </c>
      <c r="O9" s="40">
        <f>N9-M9</f>
        <v>0.005000000001018634</v>
      </c>
      <c r="P9" s="42">
        <f>N9/M9*100</f>
        <v>100.00001654902242</v>
      </c>
      <c r="Q9" s="106"/>
      <c r="R9" s="107"/>
    </row>
    <row r="10" spans="1:18" s="6" customFormat="1" ht="15">
      <c r="A10" s="8"/>
      <c r="B10" s="136" t="s">
        <v>93</v>
      </c>
      <c r="C10" s="108">
        <v>11010100</v>
      </c>
      <c r="D10" s="109">
        <v>411440</v>
      </c>
      <c r="E10" s="109">
        <v>26883.94</v>
      </c>
      <c r="F10" s="158">
        <v>26883.84</v>
      </c>
      <c r="G10" s="109">
        <f t="shared" si="0"/>
        <v>-0.09999999999854481</v>
      </c>
      <c r="H10" s="111">
        <f aca="true" t="shared" si="1" ref="H10:H31">F10/E10*100</f>
        <v>99.99962803071276</v>
      </c>
      <c r="I10" s="110">
        <f aca="true" t="shared" si="2" ref="I10:I32">F10-D10</f>
        <v>-384556.16</v>
      </c>
      <c r="J10" s="110">
        <f aca="true" t="shared" si="3" ref="J10:J31">F10/D10*100</f>
        <v>6.534085164300992</v>
      </c>
      <c r="K10" s="112">
        <f>F10-25744.25/75*60</f>
        <v>6288.439999999999</v>
      </c>
      <c r="L10" s="112">
        <f>F10/(25744.25/75*60)*100</f>
        <v>130.53322586597008</v>
      </c>
      <c r="M10" s="109">
        <v>26883.94</v>
      </c>
      <c r="N10" s="158">
        <v>26883.84</v>
      </c>
      <c r="O10" s="112">
        <f aca="true" t="shared" si="4" ref="O10:O32">N10-M10</f>
        <v>-0.09999999999854481</v>
      </c>
      <c r="P10" s="110">
        <f aca="true" t="shared" si="5" ref="P10:P31">N10/M10*100</f>
        <v>99.99962803071276</v>
      </c>
      <c r="Q10" s="42"/>
      <c r="R10" s="100"/>
    </row>
    <row r="11" spans="1:18" s="6" customFormat="1" ht="15">
      <c r="A11" s="8"/>
      <c r="B11" s="136" t="s">
        <v>89</v>
      </c>
      <c r="C11" s="108">
        <v>11010200</v>
      </c>
      <c r="D11" s="109">
        <v>23000</v>
      </c>
      <c r="E11" s="109">
        <v>2684.94</v>
      </c>
      <c r="F11" s="158">
        <v>2684.94</v>
      </c>
      <c r="G11" s="109">
        <f t="shared" si="0"/>
        <v>0</v>
      </c>
      <c r="H11" s="111">
        <f t="shared" si="1"/>
        <v>100</v>
      </c>
      <c r="I11" s="110">
        <f t="shared" si="2"/>
        <v>-20315.06</v>
      </c>
      <c r="J11" s="110">
        <f t="shared" si="3"/>
        <v>11.673652173913043</v>
      </c>
      <c r="K11" s="112">
        <f>F11-2368.9/75*60</f>
        <v>789.8199999999999</v>
      </c>
      <c r="L11" s="112">
        <f>F11/(2368.9/75*60)*100</f>
        <v>141.67651652665793</v>
      </c>
      <c r="M11" s="109">
        <v>2684.94</v>
      </c>
      <c r="N11" s="158">
        <v>2684.94</v>
      </c>
      <c r="O11" s="112">
        <f t="shared" si="4"/>
        <v>0</v>
      </c>
      <c r="P11" s="110">
        <f t="shared" si="5"/>
        <v>100</v>
      </c>
      <c r="Q11" s="42"/>
      <c r="R11" s="100"/>
    </row>
    <row r="12" spans="1:18" s="6" customFormat="1" ht="15">
      <c r="A12" s="8"/>
      <c r="B12" s="136" t="s">
        <v>92</v>
      </c>
      <c r="C12" s="108">
        <v>11010400</v>
      </c>
      <c r="D12" s="109">
        <v>6500</v>
      </c>
      <c r="E12" s="109">
        <v>433.61</v>
      </c>
      <c r="F12" s="158">
        <v>433.61</v>
      </c>
      <c r="G12" s="109">
        <f t="shared" si="0"/>
        <v>0</v>
      </c>
      <c r="H12" s="111">
        <f t="shared" si="1"/>
        <v>100</v>
      </c>
      <c r="I12" s="110">
        <f t="shared" si="2"/>
        <v>-6066.39</v>
      </c>
      <c r="J12" s="110">
        <f t="shared" si="3"/>
        <v>6.670923076923077</v>
      </c>
      <c r="K12" s="112">
        <f>F12-640.05/75*60</f>
        <v>-78.42999999999995</v>
      </c>
      <c r="L12" s="112">
        <f>F12/(640.05/75*60)*100</f>
        <v>84.68283727833764</v>
      </c>
      <c r="M12" s="109">
        <v>433.61</v>
      </c>
      <c r="N12" s="158">
        <v>433.61</v>
      </c>
      <c r="O12" s="112">
        <f t="shared" si="4"/>
        <v>0</v>
      </c>
      <c r="P12" s="110">
        <f t="shared" si="5"/>
        <v>100</v>
      </c>
      <c r="Q12" s="42"/>
      <c r="R12" s="100"/>
    </row>
    <row r="13" spans="1:18" s="6" customFormat="1" ht="15">
      <c r="A13" s="8"/>
      <c r="B13" s="136" t="s">
        <v>90</v>
      </c>
      <c r="C13" s="108">
        <v>11010500</v>
      </c>
      <c r="D13" s="109">
        <v>12400</v>
      </c>
      <c r="E13" s="109">
        <v>209.835</v>
      </c>
      <c r="F13" s="158">
        <v>209.84</v>
      </c>
      <c r="G13" s="109">
        <f t="shared" si="0"/>
        <v>0.0049999999999954525</v>
      </c>
      <c r="H13" s="111">
        <f t="shared" si="1"/>
        <v>100.00238282460028</v>
      </c>
      <c r="I13" s="110">
        <f t="shared" si="2"/>
        <v>-12190.16</v>
      </c>
      <c r="J13" s="110">
        <f t="shared" si="3"/>
        <v>1.6922580645161291</v>
      </c>
      <c r="K13" s="112">
        <f>F13-227.71/75*60</f>
        <v>27.671999999999997</v>
      </c>
      <c r="L13" s="112">
        <f>F13/(227.71/75*60)*100</f>
        <v>115.19037372096086</v>
      </c>
      <c r="M13" s="109">
        <v>209.835</v>
      </c>
      <c r="N13" s="158">
        <v>209.84</v>
      </c>
      <c r="O13" s="112">
        <f t="shared" si="4"/>
        <v>0.0049999999999954525</v>
      </c>
      <c r="P13" s="110">
        <f t="shared" si="5"/>
        <v>100.00238282460028</v>
      </c>
      <c r="Q13" s="42"/>
      <c r="R13" s="100"/>
    </row>
    <row r="14" spans="1:18" s="6" customFormat="1" ht="15">
      <c r="A14" s="8"/>
      <c r="B14" s="136" t="s">
        <v>91</v>
      </c>
      <c r="C14" s="108">
        <v>11010900</v>
      </c>
      <c r="D14" s="109">
        <v>6360</v>
      </c>
      <c r="E14" s="109">
        <v>1.04</v>
      </c>
      <c r="F14" s="158">
        <v>1.04</v>
      </c>
      <c r="G14" s="109">
        <f t="shared" si="0"/>
        <v>0</v>
      </c>
      <c r="H14" s="111">
        <f t="shared" si="1"/>
        <v>100</v>
      </c>
      <c r="I14" s="110">
        <f t="shared" si="2"/>
        <v>-6358.96</v>
      </c>
      <c r="J14" s="110">
        <f t="shared" si="3"/>
        <v>0.016352201257861635</v>
      </c>
      <c r="K14" s="112">
        <f>F14-30.81/75*60</f>
        <v>-23.608</v>
      </c>
      <c r="L14" s="112">
        <f>F14/(30.81/75*60)*100</f>
        <v>4.219409282700423</v>
      </c>
      <c r="M14" s="109">
        <v>1.04</v>
      </c>
      <c r="N14" s="158">
        <v>1.04</v>
      </c>
      <c r="O14" s="112">
        <f t="shared" si="4"/>
        <v>0</v>
      </c>
      <c r="P14" s="110">
        <f t="shared" si="5"/>
        <v>100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33">
        <v>500</v>
      </c>
      <c r="E15" s="33">
        <v>0</v>
      </c>
      <c r="F15" s="117">
        <v>0</v>
      </c>
      <c r="G15" s="36">
        <f t="shared" si="0"/>
        <v>0</v>
      </c>
      <c r="H15" s="32"/>
      <c r="I15" s="42">
        <f t="shared" si="2"/>
        <v>-500</v>
      </c>
      <c r="J15" s="42">
        <f t="shared" si="3"/>
        <v>0</v>
      </c>
      <c r="K15" s="43">
        <f>F15-(-566.34)</f>
        <v>566.34</v>
      </c>
      <c r="L15" s="43">
        <f>F15/(-566.34)*100</f>
        <v>0</v>
      </c>
      <c r="M15" s="33">
        <v>0</v>
      </c>
      <c r="N15" s="117">
        <v>0</v>
      </c>
      <c r="O15" s="40">
        <f t="shared" si="4"/>
        <v>0</v>
      </c>
      <c r="P15" s="42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18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109">
        <v>0</v>
      </c>
      <c r="N16" s="118">
        <v>0</v>
      </c>
      <c r="O16" s="40">
        <f t="shared" si="4"/>
        <v>0</v>
      </c>
      <c r="P16" s="42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 hidden="1">
      <c r="A17" s="8"/>
      <c r="B17" s="49" t="s">
        <v>88</v>
      </c>
      <c r="C17" s="135">
        <v>13010200</v>
      </c>
      <c r="D17" s="36">
        <v>0</v>
      </c>
      <c r="E17" s="36">
        <v>0</v>
      </c>
      <c r="F17" s="125">
        <v>0</v>
      </c>
      <c r="G17" s="36">
        <f t="shared" si="0"/>
        <v>0</v>
      </c>
      <c r="H17" s="32"/>
      <c r="I17" s="42">
        <f t="shared" si="2"/>
        <v>0</v>
      </c>
      <c r="J17" s="42" t="e">
        <f t="shared" si="3"/>
        <v>#DIV/0!</v>
      </c>
      <c r="K17" s="112">
        <f>F17-0</f>
        <v>0</v>
      </c>
      <c r="L17" s="112"/>
      <c r="M17" s="36">
        <v>0</v>
      </c>
      <c r="N17" s="125">
        <v>0</v>
      </c>
      <c r="O17" s="40">
        <f t="shared" si="4"/>
        <v>0</v>
      </c>
      <c r="P17" s="42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33">
        <v>10</v>
      </c>
      <c r="E18" s="33">
        <v>0</v>
      </c>
      <c r="F18" s="117">
        <v>0</v>
      </c>
      <c r="G18" s="36">
        <f t="shared" si="0"/>
        <v>0</v>
      </c>
      <c r="H18" s="32"/>
      <c r="I18" s="42">
        <f t="shared" si="2"/>
        <v>-10</v>
      </c>
      <c r="J18" s="42">
        <f t="shared" si="3"/>
        <v>0</v>
      </c>
      <c r="K18" s="43">
        <f>F18-0.12</f>
        <v>-0.12</v>
      </c>
      <c r="L18" s="112">
        <f>F18/0.12*100</f>
        <v>0</v>
      </c>
      <c r="M18" s="33">
        <v>0</v>
      </c>
      <c r="N18" s="117">
        <v>0</v>
      </c>
      <c r="O18" s="40">
        <f t="shared" si="4"/>
        <v>0</v>
      </c>
      <c r="P18" s="42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36">
        <v>109900</v>
      </c>
      <c r="E19" s="36">
        <v>5560.4</v>
      </c>
      <c r="F19" s="159">
        <v>5560.4</v>
      </c>
      <c r="G19" s="36">
        <f t="shared" si="0"/>
        <v>0</v>
      </c>
      <c r="H19" s="32">
        <f t="shared" si="1"/>
        <v>100</v>
      </c>
      <c r="I19" s="42">
        <f t="shared" si="2"/>
        <v>-104339.6</v>
      </c>
      <c r="J19" s="42">
        <f t="shared" si="3"/>
        <v>5.05950864422202</v>
      </c>
      <c r="K19" s="133">
        <f>F19-0</f>
        <v>5560.4</v>
      </c>
      <c r="L19" s="134"/>
      <c r="M19" s="36">
        <v>5560.4</v>
      </c>
      <c r="N19" s="159">
        <v>5560.4</v>
      </c>
      <c r="O19" s="40">
        <f t="shared" si="4"/>
        <v>0</v>
      </c>
      <c r="P19" s="42">
        <f t="shared" si="5"/>
        <v>100</v>
      </c>
      <c r="Q19" s="113"/>
      <c r="R19" s="114"/>
    </row>
    <row r="20" spans="1:18" s="6" customFormat="1" ht="15">
      <c r="A20" s="8"/>
      <c r="B20" s="130" t="s">
        <v>76</v>
      </c>
      <c r="C20" s="48">
        <v>18000000</v>
      </c>
      <c r="D20" s="36">
        <f>D21+D25+D27</f>
        <v>270940</v>
      </c>
      <c r="E20" s="36">
        <f>E21+E25+E27</f>
        <v>24787.135</v>
      </c>
      <c r="F20" s="126">
        <f>F21+F25+F27+F26</f>
        <v>24797.06</v>
      </c>
      <c r="G20" s="36">
        <f t="shared" si="0"/>
        <v>9.92500000000291</v>
      </c>
      <c r="H20" s="32">
        <f t="shared" si="1"/>
        <v>100.04004093252408</v>
      </c>
      <c r="I20" s="42">
        <f t="shared" si="2"/>
        <v>-246142.94</v>
      </c>
      <c r="J20" s="42">
        <f t="shared" si="3"/>
        <v>9.152232966708498</v>
      </c>
      <c r="K20" s="132">
        <f>K21+K25+K26+K27</f>
        <v>9734.8</v>
      </c>
      <c r="L20" s="110">
        <f>F20/15062.3*100</f>
        <v>164.62997019047558</v>
      </c>
      <c r="M20" s="32">
        <f>M21+M25+M26+M27</f>
        <v>24787.135</v>
      </c>
      <c r="N20" s="32">
        <f>N21+N25+N26+N27</f>
        <v>24797.059999999998</v>
      </c>
      <c r="O20" s="40">
        <f t="shared" si="4"/>
        <v>9.924999999999272</v>
      </c>
      <c r="P20" s="42">
        <f t="shared" si="5"/>
        <v>100.04004093252408</v>
      </c>
      <c r="Q20" s="113"/>
      <c r="R20" s="114"/>
    </row>
    <row r="21" spans="1:18" s="6" customFormat="1" ht="15">
      <c r="A21" s="8"/>
      <c r="B21" s="49" t="s">
        <v>84</v>
      </c>
      <c r="C21" s="127">
        <v>18010000</v>
      </c>
      <c r="D21" s="36">
        <f>D22+D23+D24</f>
        <v>161400</v>
      </c>
      <c r="E21" s="36">
        <f>E22+E23+E24</f>
        <v>11899.289999999999</v>
      </c>
      <c r="F21" s="126">
        <f>F22+F23+F24</f>
        <v>11899.3</v>
      </c>
      <c r="G21" s="36">
        <f t="shared" si="0"/>
        <v>0.010000000000218279</v>
      </c>
      <c r="H21" s="32">
        <f t="shared" si="1"/>
        <v>100.00008403862752</v>
      </c>
      <c r="I21" s="42">
        <f t="shared" si="2"/>
        <v>-149500.7</v>
      </c>
      <c r="J21" s="42">
        <f t="shared" si="3"/>
        <v>7.372552664188352</v>
      </c>
      <c r="K21" s="132">
        <f>K22+K23+K24</f>
        <v>5316.619999999999</v>
      </c>
      <c r="L21" s="110">
        <f>F21/6582.7*100</f>
        <v>180.76625093046925</v>
      </c>
      <c r="M21" s="32">
        <f>M22+M23+M24</f>
        <v>11899.289999999999</v>
      </c>
      <c r="N21" s="32">
        <f>N22+N23+N24</f>
        <v>11899.3</v>
      </c>
      <c r="O21" s="40">
        <f t="shared" si="4"/>
        <v>0.010000000000218279</v>
      </c>
      <c r="P21" s="42">
        <f t="shared" si="5"/>
        <v>100.00008403862752</v>
      </c>
      <c r="Q21" s="113"/>
      <c r="R21" s="114"/>
    </row>
    <row r="22" spans="1:18" s="6" customFormat="1" ht="15">
      <c r="A22" s="8"/>
      <c r="B22" s="55" t="s">
        <v>77</v>
      </c>
      <c r="C22" s="138"/>
      <c r="D22" s="109">
        <v>18500</v>
      </c>
      <c r="E22" s="109">
        <v>3049.6</v>
      </c>
      <c r="F22" s="158">
        <v>3049.6</v>
      </c>
      <c r="G22" s="109">
        <f>F22-E22</f>
        <v>0</v>
      </c>
      <c r="H22" s="111">
        <f t="shared" si="1"/>
        <v>100</v>
      </c>
      <c r="I22" s="110">
        <f t="shared" si="2"/>
        <v>-15450.4</v>
      </c>
      <c r="J22" s="110">
        <f t="shared" si="3"/>
        <v>16.484324324324323</v>
      </c>
      <c r="K22" s="110">
        <f>F22-84.67</f>
        <v>2964.93</v>
      </c>
      <c r="L22" s="110">
        <f>F22/84.67*100</f>
        <v>3601.747962678635</v>
      </c>
      <c r="M22" s="109">
        <v>3049.6</v>
      </c>
      <c r="N22" s="158">
        <v>3049.6</v>
      </c>
      <c r="O22" s="112">
        <f t="shared" si="4"/>
        <v>0</v>
      </c>
      <c r="P22" s="110">
        <f t="shared" si="5"/>
        <v>100</v>
      </c>
      <c r="Q22" s="113"/>
      <c r="R22" s="114"/>
    </row>
    <row r="23" spans="1:18" s="6" customFormat="1" ht="15">
      <c r="A23" s="8"/>
      <c r="B23" s="55" t="s">
        <v>78</v>
      </c>
      <c r="C23" s="138"/>
      <c r="D23" s="109">
        <v>2800</v>
      </c>
      <c r="E23" s="109">
        <v>156.87</v>
      </c>
      <c r="F23" s="158">
        <v>156.87</v>
      </c>
      <c r="G23" s="109">
        <f>F23-E23</f>
        <v>0</v>
      </c>
      <c r="H23" s="111">
        <f t="shared" si="1"/>
        <v>100</v>
      </c>
      <c r="I23" s="110">
        <f t="shared" si="2"/>
        <v>-2643.13</v>
      </c>
      <c r="J23" s="110">
        <f t="shared" si="3"/>
        <v>5.6025</v>
      </c>
      <c r="K23" s="110">
        <f>F23-0</f>
        <v>156.87</v>
      </c>
      <c r="L23" s="110"/>
      <c r="M23" s="109">
        <v>156.87</v>
      </c>
      <c r="N23" s="158">
        <v>156.87</v>
      </c>
      <c r="O23" s="112">
        <f t="shared" si="4"/>
        <v>0</v>
      </c>
      <c r="P23" s="110">
        <f t="shared" si="5"/>
        <v>100</v>
      </c>
      <c r="Q23" s="113"/>
      <c r="R23" s="114"/>
    </row>
    <row r="24" spans="1:18" s="6" customFormat="1" ht="15">
      <c r="A24" s="8"/>
      <c r="B24" s="55" t="s">
        <v>79</v>
      </c>
      <c r="C24" s="138"/>
      <c r="D24" s="109">
        <v>140100</v>
      </c>
      <c r="E24" s="109">
        <v>8692.82</v>
      </c>
      <c r="F24" s="158">
        <v>8692.83</v>
      </c>
      <c r="G24" s="109">
        <f>F24-E24</f>
        <v>0.010000000000218279</v>
      </c>
      <c r="H24" s="111">
        <f t="shared" si="1"/>
        <v>100.00011503746771</v>
      </c>
      <c r="I24" s="110">
        <f t="shared" si="2"/>
        <v>-131407.17</v>
      </c>
      <c r="J24" s="110">
        <f t="shared" si="3"/>
        <v>6.204732334047109</v>
      </c>
      <c r="K24" s="142">
        <f>F24-6498.01</f>
        <v>2194.8199999999997</v>
      </c>
      <c r="L24" s="142">
        <f>F24/6498.01*100</f>
        <v>133.77680243643823</v>
      </c>
      <c r="M24" s="109">
        <v>8692.82</v>
      </c>
      <c r="N24" s="158">
        <v>8692.83</v>
      </c>
      <c r="O24" s="112">
        <f t="shared" si="4"/>
        <v>0.010000000000218279</v>
      </c>
      <c r="P24" s="110">
        <f t="shared" si="5"/>
        <v>100.00011503746771</v>
      </c>
      <c r="Q24" s="113"/>
      <c r="R24" s="114"/>
    </row>
    <row r="25" spans="1:18" s="6" customFormat="1" ht="15">
      <c r="A25" s="8"/>
      <c r="B25" s="49" t="s">
        <v>85</v>
      </c>
      <c r="C25" s="127">
        <v>18030000</v>
      </c>
      <c r="D25" s="36">
        <v>77</v>
      </c>
      <c r="E25" s="36">
        <v>2.605</v>
      </c>
      <c r="F25" s="159">
        <v>2.61</v>
      </c>
      <c r="G25" s="36">
        <f>F25-E25</f>
        <v>0.004999999999999893</v>
      </c>
      <c r="H25" s="32">
        <f t="shared" si="1"/>
        <v>100.19193857965452</v>
      </c>
      <c r="I25" s="42">
        <f t="shared" si="2"/>
        <v>-74.39</v>
      </c>
      <c r="J25" s="42">
        <f t="shared" si="3"/>
        <v>3.3896103896103895</v>
      </c>
      <c r="K25" s="132">
        <f>F25-2.4</f>
        <v>0.20999999999999996</v>
      </c>
      <c r="L25" s="132">
        <f>F25/2.4*100</f>
        <v>108.74999999999999</v>
      </c>
      <c r="M25" s="36">
        <v>2.605</v>
      </c>
      <c r="N25" s="159">
        <v>2.61</v>
      </c>
      <c r="O25" s="40">
        <f t="shared" si="4"/>
        <v>0.004999999999999893</v>
      </c>
      <c r="P25" s="42">
        <f t="shared" si="5"/>
        <v>100.19193857965452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36"/>
      <c r="E26" s="36"/>
      <c r="F26" s="159">
        <v>-0.35</v>
      </c>
      <c r="G26" s="36">
        <f aca="true" t="shared" si="6" ref="G26:G32">F26-E26</f>
        <v>-0.35</v>
      </c>
      <c r="H26" s="32"/>
      <c r="I26" s="42">
        <f t="shared" si="2"/>
        <v>-0.35</v>
      </c>
      <c r="J26" s="42"/>
      <c r="K26" s="132">
        <f>F26-142.7</f>
        <v>-143.04999999999998</v>
      </c>
      <c r="L26" s="132">
        <f>F26/142.7*100</f>
        <v>-0.2452697967764541</v>
      </c>
      <c r="M26" s="36"/>
      <c r="N26" s="159">
        <v>-0.35</v>
      </c>
      <c r="O26" s="40">
        <f t="shared" si="4"/>
        <v>-0.35</v>
      </c>
      <c r="P26" s="42"/>
      <c r="Q26" s="113"/>
      <c r="R26" s="114"/>
    </row>
    <row r="27" spans="1:18" s="6" customFormat="1" ht="15">
      <c r="A27" s="8"/>
      <c r="B27" s="49" t="s">
        <v>87</v>
      </c>
      <c r="C27" s="127">
        <v>18050000</v>
      </c>
      <c r="D27" s="36">
        <v>109463</v>
      </c>
      <c r="E27" s="36">
        <v>12885.24</v>
      </c>
      <c r="F27" s="159">
        <v>12895.5</v>
      </c>
      <c r="G27" s="36">
        <f t="shared" si="6"/>
        <v>10.260000000000218</v>
      </c>
      <c r="H27" s="32">
        <f t="shared" si="1"/>
        <v>100.0796259906684</v>
      </c>
      <c r="I27" s="42">
        <f t="shared" si="2"/>
        <v>-96567.5</v>
      </c>
      <c r="J27" s="42">
        <f t="shared" si="3"/>
        <v>11.78069301955912</v>
      </c>
      <c r="K27" s="106">
        <f>F27-8334.48</f>
        <v>4561.02</v>
      </c>
      <c r="L27" s="106">
        <f>F27/8334.48*100</f>
        <v>154.72470987992054</v>
      </c>
      <c r="M27" s="36">
        <v>12885.24</v>
      </c>
      <c r="N27" s="159">
        <v>12895.5</v>
      </c>
      <c r="O27" s="40">
        <f t="shared" si="4"/>
        <v>10.260000000000218</v>
      </c>
      <c r="P27" s="42">
        <f t="shared" si="5"/>
        <v>100.0796259906684</v>
      </c>
      <c r="Q27" s="113"/>
      <c r="R27" s="114"/>
    </row>
    <row r="28" spans="1:18" s="6" customFormat="1" ht="15">
      <c r="A28" s="8"/>
      <c r="B28" s="55" t="s">
        <v>94</v>
      </c>
      <c r="C28" s="108">
        <v>18050200</v>
      </c>
      <c r="D28" s="109">
        <v>0</v>
      </c>
      <c r="E28" s="109">
        <v>0</v>
      </c>
      <c r="F28" s="158">
        <v>0</v>
      </c>
      <c r="G28" s="36">
        <f t="shared" si="6"/>
        <v>0</v>
      </c>
      <c r="H28" s="32"/>
      <c r="I28" s="42">
        <f t="shared" si="2"/>
        <v>0</v>
      </c>
      <c r="J28" s="42"/>
      <c r="K28" s="113">
        <f>F28-0</f>
        <v>0</v>
      </c>
      <c r="L28" s="113"/>
      <c r="M28" s="109">
        <v>0</v>
      </c>
      <c r="N28" s="158">
        <v>0</v>
      </c>
      <c r="O28" s="112">
        <f t="shared" si="4"/>
        <v>0</v>
      </c>
      <c r="P28" s="110"/>
      <c r="Q28" s="113"/>
      <c r="R28" s="114"/>
    </row>
    <row r="29" spans="1:18" s="6" customFormat="1" ht="15">
      <c r="A29" s="8"/>
      <c r="B29" s="55" t="s">
        <v>95</v>
      </c>
      <c r="C29" s="108">
        <v>18050300</v>
      </c>
      <c r="D29" s="109">
        <v>27600</v>
      </c>
      <c r="E29" s="109">
        <v>2155.97</v>
      </c>
      <c r="F29" s="158">
        <v>2155.97</v>
      </c>
      <c r="G29" s="36">
        <f t="shared" si="6"/>
        <v>0</v>
      </c>
      <c r="H29" s="32">
        <f t="shared" si="1"/>
        <v>100</v>
      </c>
      <c r="I29" s="42">
        <f t="shared" si="2"/>
        <v>-25444.03</v>
      </c>
      <c r="J29" s="42">
        <f t="shared" si="3"/>
        <v>7.811485507246376</v>
      </c>
      <c r="K29" s="113">
        <f>F29-1847.69</f>
        <v>308.27999999999975</v>
      </c>
      <c r="L29" s="113">
        <f>F29/1847.69*100</f>
        <v>116.68461700826435</v>
      </c>
      <c r="M29" s="109">
        <v>2155.97</v>
      </c>
      <c r="N29" s="158">
        <v>2155.97</v>
      </c>
      <c r="O29" s="112">
        <f t="shared" si="4"/>
        <v>0</v>
      </c>
      <c r="P29" s="110">
        <f t="shared" si="5"/>
        <v>100</v>
      </c>
      <c r="Q29" s="113"/>
      <c r="R29" s="114"/>
    </row>
    <row r="30" spans="1:18" s="6" customFormat="1" ht="15">
      <c r="A30" s="8"/>
      <c r="B30" s="55" t="s">
        <v>96</v>
      </c>
      <c r="C30" s="108">
        <v>18050400</v>
      </c>
      <c r="D30" s="109">
        <v>81812</v>
      </c>
      <c r="E30" s="109">
        <v>10726.08</v>
      </c>
      <c r="F30" s="158">
        <v>10736.34</v>
      </c>
      <c r="G30" s="36">
        <f t="shared" si="6"/>
        <v>10.260000000000218</v>
      </c>
      <c r="H30" s="32">
        <f t="shared" si="1"/>
        <v>100.09565470330261</v>
      </c>
      <c r="I30" s="42">
        <f t="shared" si="2"/>
        <v>-71075.66</v>
      </c>
      <c r="J30" s="42">
        <f t="shared" si="3"/>
        <v>13.123184862856304</v>
      </c>
      <c r="K30" s="113">
        <f>F30-6486.79</f>
        <v>4249.55</v>
      </c>
      <c r="L30" s="113">
        <f>F30/6486.79*100</f>
        <v>165.5108304723908</v>
      </c>
      <c r="M30" s="109">
        <v>10726.08</v>
      </c>
      <c r="N30" s="158">
        <v>10736.34</v>
      </c>
      <c r="O30" s="112">
        <f t="shared" si="4"/>
        <v>10.260000000000218</v>
      </c>
      <c r="P30" s="110">
        <f t="shared" si="5"/>
        <v>100.09565470330261</v>
      </c>
      <c r="Q30" s="113"/>
      <c r="R30" s="114"/>
    </row>
    <row r="31" spans="1:18" s="6" customFormat="1" ht="15">
      <c r="A31" s="8"/>
      <c r="B31" s="55" t="s">
        <v>97</v>
      </c>
      <c r="C31" s="108">
        <v>18050500</v>
      </c>
      <c r="D31" s="109">
        <v>51</v>
      </c>
      <c r="E31" s="109">
        <v>3.19</v>
      </c>
      <c r="F31" s="158">
        <v>3.19</v>
      </c>
      <c r="G31" s="36">
        <f t="shared" si="6"/>
        <v>0</v>
      </c>
      <c r="H31" s="32">
        <f t="shared" si="1"/>
        <v>100</v>
      </c>
      <c r="I31" s="42">
        <f t="shared" si="2"/>
        <v>-47.81</v>
      </c>
      <c r="J31" s="42">
        <f t="shared" si="3"/>
        <v>6.254901960784314</v>
      </c>
      <c r="K31" s="113">
        <f>F31-0</f>
        <v>3.19</v>
      </c>
      <c r="L31" s="113"/>
      <c r="M31" s="109">
        <v>3.19</v>
      </c>
      <c r="N31" s="158">
        <v>3.19</v>
      </c>
      <c r="O31" s="112">
        <f t="shared" si="4"/>
        <v>0</v>
      </c>
      <c r="P31" s="110">
        <f t="shared" si="5"/>
        <v>100</v>
      </c>
      <c r="Q31" s="113"/>
      <c r="R31" s="114"/>
    </row>
    <row r="32" spans="1:18" s="6" customFormat="1" ht="15">
      <c r="A32" s="8"/>
      <c r="B32" s="49" t="s">
        <v>47</v>
      </c>
      <c r="C32" s="48">
        <v>19010000</v>
      </c>
      <c r="D32" s="36">
        <v>0</v>
      </c>
      <c r="E32" s="36">
        <v>0</v>
      </c>
      <c r="F32" s="159">
        <v>9.9</v>
      </c>
      <c r="G32" s="36">
        <f t="shared" si="6"/>
        <v>9.9</v>
      </c>
      <c r="H32" s="32"/>
      <c r="I32" s="42">
        <f t="shared" si="2"/>
        <v>9.9</v>
      </c>
      <c r="J32" s="42"/>
      <c r="K32" s="132">
        <f>F32-8.89</f>
        <v>1.0099999999999998</v>
      </c>
      <c r="L32" s="132">
        <f>F32/8.89*100</f>
        <v>111.36107986501686</v>
      </c>
      <c r="M32" s="36">
        <v>0</v>
      </c>
      <c r="N32" s="159">
        <v>9.9</v>
      </c>
      <c r="O32" s="40">
        <f t="shared" si="4"/>
        <v>9.9</v>
      </c>
      <c r="P32" s="42"/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D34+D35+D36+D37+D38+D39+D41+D42+D43+D44+D45+D50+D51+D55</f>
        <v>42820</v>
      </c>
      <c r="E33" s="15">
        <f>E34+E35+E36+E37+E38+E39+E41+E42+E43+E44+E45+E50+E51+E55</f>
        <v>2027.729</v>
      </c>
      <c r="F33" s="15">
        <f>F34+F35+F36+F37+F38+F39+F41+F42+F43+F44+F45+F50+F51+F55</f>
        <v>2030.97</v>
      </c>
      <c r="G33" s="15">
        <f>G34+G35+G36+G37+G38+G39+G41+G42+G43+G44+G45+G50+G51+G55</f>
        <v>3.240999999999966</v>
      </c>
      <c r="H33" s="38">
        <f>F33/E33*100</f>
        <v>100.15983398175989</v>
      </c>
      <c r="I33" s="28">
        <f>F33-D33</f>
        <v>-40789.03</v>
      </c>
      <c r="J33" s="28">
        <f>F33/D33*100</f>
        <v>4.743040635217188</v>
      </c>
      <c r="K33" s="15">
        <f>K34+K35+K36+K37+K38+K44+K45+K50+K51+K55+K41</f>
        <v>1007.56</v>
      </c>
      <c r="L33" s="15"/>
      <c r="M33" s="15">
        <f>M34+M35+M36+M37+M38+M39+M41+M42+M43+M44+M45+M50+M51+M55</f>
        <v>2027.729</v>
      </c>
      <c r="N33" s="15">
        <f>N34+N35+N36+N37+N38+N39+N41+N42+N43+N44+N45+N50+N51+N55</f>
        <v>2030.97</v>
      </c>
      <c r="O33" s="15">
        <f>O34+O35+O36+O37+O38+O39+O41+O42+O43+O44+O45+O50+O51+O55</f>
        <v>3.240999999999966</v>
      </c>
      <c r="P33" s="15">
        <f>N33/M33*100</f>
        <v>100.15983398175989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100</v>
      </c>
      <c r="E34" s="33">
        <v>4.7</v>
      </c>
      <c r="F34" s="157">
        <v>4.71</v>
      </c>
      <c r="G34" s="36">
        <f>F34-E34</f>
        <v>0.009999999999999787</v>
      </c>
      <c r="H34" s="32"/>
      <c r="I34" s="42">
        <f>F34-D34</f>
        <v>-95.29</v>
      </c>
      <c r="J34" s="42">
        <f>F34/D34*100</f>
        <v>4.71</v>
      </c>
      <c r="K34" s="42">
        <f>F34-0</f>
        <v>4.71</v>
      </c>
      <c r="L34" s="42"/>
      <c r="M34" s="33">
        <v>4.7</v>
      </c>
      <c r="N34" s="157">
        <v>4.71</v>
      </c>
      <c r="O34" s="40">
        <f>N34-M34</f>
        <v>0.009999999999999787</v>
      </c>
      <c r="P34" s="42"/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10000</v>
      </c>
      <c r="E35" s="33">
        <v>0</v>
      </c>
      <c r="F35" s="157">
        <v>0</v>
      </c>
      <c r="G35" s="36">
        <f aca="true" t="shared" si="7" ref="G35:G57">F35-E35</f>
        <v>0</v>
      </c>
      <c r="H35" s="32"/>
      <c r="I35" s="42">
        <f aca="true" t="shared" si="8" ref="I35:I57">F35-D35</f>
        <v>-10000</v>
      </c>
      <c r="J35" s="42"/>
      <c r="K35" s="42">
        <f>F35-0</f>
        <v>0</v>
      </c>
      <c r="L35" s="42"/>
      <c r="M35" s="33">
        <v>0</v>
      </c>
      <c r="N35" s="157">
        <v>0</v>
      </c>
      <c r="O35" s="40">
        <f aca="true" t="shared" si="9" ref="O35:O57">N35-M35</f>
        <v>0</v>
      </c>
      <c r="P35" s="42"/>
      <c r="Q35" s="42"/>
      <c r="R35" s="100"/>
    </row>
    <row r="36" spans="1:18" s="6" customFormat="1" ht="15">
      <c r="A36" s="8"/>
      <c r="B36" s="144" t="s">
        <v>62</v>
      </c>
      <c r="C36" s="47">
        <v>21080500</v>
      </c>
      <c r="D36" s="33">
        <v>400</v>
      </c>
      <c r="E36" s="33">
        <v>11.44</v>
      </c>
      <c r="F36" s="157">
        <v>17.84</v>
      </c>
      <c r="G36" s="36">
        <f t="shared" si="7"/>
        <v>6.4</v>
      </c>
      <c r="H36" s="32">
        <f aca="true" t="shared" si="10" ref="H36:H56">F36/E36*100</f>
        <v>155.94405594405595</v>
      </c>
      <c r="I36" s="42">
        <f t="shared" si="8"/>
        <v>-382.16</v>
      </c>
      <c r="J36" s="42">
        <f aca="true" t="shared" si="11" ref="J36:J56">F36/D36*100</f>
        <v>4.46</v>
      </c>
      <c r="K36" s="42">
        <f>F36-1.67</f>
        <v>16.17</v>
      </c>
      <c r="L36" s="42">
        <f>F36/1.67*100</f>
        <v>1068.263473053892</v>
      </c>
      <c r="M36" s="33">
        <v>11.44</v>
      </c>
      <c r="N36" s="157">
        <v>17.84</v>
      </c>
      <c r="O36" s="40">
        <f t="shared" si="9"/>
        <v>6.4</v>
      </c>
      <c r="P36" s="42">
        <f aca="true" t="shared" si="12" ref="P36:P56">N36/M36*100</f>
        <v>155.94405594405595</v>
      </c>
      <c r="Q36" s="42"/>
      <c r="R36" s="100"/>
    </row>
    <row r="37" spans="1:18" s="6" customFormat="1" ht="30.7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57">
        <v>0</v>
      </c>
      <c r="G37" s="36">
        <f t="shared" si="7"/>
        <v>0</v>
      </c>
      <c r="H37" s="32"/>
      <c r="I37" s="42">
        <f t="shared" si="8"/>
        <v>0</v>
      </c>
      <c r="J37" s="42"/>
      <c r="K37" s="42">
        <f>F37-0</f>
        <v>0</v>
      </c>
      <c r="L37" s="42"/>
      <c r="M37" s="33">
        <v>0</v>
      </c>
      <c r="N37" s="157">
        <v>0</v>
      </c>
      <c r="O37" s="40">
        <f t="shared" si="9"/>
        <v>0</v>
      </c>
      <c r="P37" s="42"/>
      <c r="Q37" s="42"/>
      <c r="R37" s="100"/>
    </row>
    <row r="38" spans="1:18" s="6" customFormat="1" ht="15">
      <c r="A38" s="8"/>
      <c r="B38" s="145" t="s">
        <v>16</v>
      </c>
      <c r="C38" s="77">
        <v>21081100</v>
      </c>
      <c r="D38" s="33">
        <v>150</v>
      </c>
      <c r="E38" s="33">
        <v>10</v>
      </c>
      <c r="F38" s="157">
        <v>-6.4</v>
      </c>
      <c r="G38" s="36">
        <f t="shared" si="7"/>
        <v>-16.4</v>
      </c>
      <c r="H38" s="32">
        <f t="shared" si="10"/>
        <v>-64</v>
      </c>
      <c r="I38" s="42">
        <f t="shared" si="8"/>
        <v>-156.4</v>
      </c>
      <c r="J38" s="42">
        <f t="shared" si="11"/>
        <v>-4.2666666666666675</v>
      </c>
      <c r="K38" s="42">
        <f>F38-7.6</f>
        <v>-14</v>
      </c>
      <c r="L38" s="42">
        <f>F38/7.6*100</f>
        <v>-84.21052631578948</v>
      </c>
      <c r="M38" s="33">
        <v>10</v>
      </c>
      <c r="N38" s="157">
        <v>-6.4</v>
      </c>
      <c r="O38" s="40">
        <f t="shared" si="9"/>
        <v>-16.4</v>
      </c>
      <c r="P38" s="42">
        <f t="shared" si="12"/>
        <v>-64</v>
      </c>
      <c r="Q38" s="42"/>
      <c r="R38" s="100"/>
    </row>
    <row r="39" spans="1:18" s="6" customFormat="1" ht="30.75">
      <c r="A39" s="8"/>
      <c r="B39" s="145" t="s">
        <v>124</v>
      </c>
      <c r="C39" s="54">
        <v>22010300</v>
      </c>
      <c r="D39" s="33">
        <v>90</v>
      </c>
      <c r="E39" s="33">
        <v>0</v>
      </c>
      <c r="F39" s="117">
        <v>0</v>
      </c>
      <c r="G39" s="36">
        <f t="shared" si="7"/>
        <v>0</v>
      </c>
      <c r="H39" s="32"/>
      <c r="I39" s="42">
        <f t="shared" si="8"/>
        <v>-90</v>
      </c>
      <c r="J39" s="42">
        <f t="shared" si="11"/>
        <v>0</v>
      </c>
      <c r="K39" s="42"/>
      <c r="L39" s="42"/>
      <c r="M39" s="33">
        <v>0</v>
      </c>
      <c r="N39" s="117">
        <v>0</v>
      </c>
      <c r="O39" s="40">
        <f t="shared" si="9"/>
        <v>0</v>
      </c>
      <c r="P39" s="42"/>
      <c r="Q39" s="42"/>
      <c r="R39" s="100"/>
    </row>
    <row r="40" spans="1:18" s="6" customFormat="1" ht="15" hidden="1">
      <c r="A40" s="8"/>
      <c r="B40" s="145"/>
      <c r="C40" s="54"/>
      <c r="D40" s="33"/>
      <c r="E40" s="33"/>
      <c r="F40" s="117"/>
      <c r="G40" s="36"/>
      <c r="H40" s="32"/>
      <c r="I40" s="42"/>
      <c r="J40" s="42"/>
      <c r="K40" s="42"/>
      <c r="L40" s="42"/>
      <c r="M40" s="33"/>
      <c r="N40" s="117"/>
      <c r="O40" s="40"/>
      <c r="P40" s="42"/>
      <c r="Q40" s="42"/>
      <c r="R40" s="100"/>
    </row>
    <row r="41" spans="1:18" s="6" customFormat="1" ht="15">
      <c r="A41" s="8"/>
      <c r="B41" s="35" t="s">
        <v>81</v>
      </c>
      <c r="C41" s="77">
        <v>22012500</v>
      </c>
      <c r="D41" s="33">
        <v>9900</v>
      </c>
      <c r="E41" s="33">
        <v>539.015</v>
      </c>
      <c r="F41" s="157">
        <v>539.02</v>
      </c>
      <c r="G41" s="36">
        <f t="shared" si="7"/>
        <v>0.0049999999999954525</v>
      </c>
      <c r="H41" s="32">
        <f t="shared" si="10"/>
        <v>100.00092761796981</v>
      </c>
      <c r="I41" s="42">
        <f t="shared" si="8"/>
        <v>-9360.98</v>
      </c>
      <c r="J41" s="42">
        <f t="shared" si="11"/>
        <v>5.444646464646465</v>
      </c>
      <c r="K41" s="42">
        <f>F41-0</f>
        <v>539.02</v>
      </c>
      <c r="L41" s="42"/>
      <c r="M41" s="33">
        <v>539.015</v>
      </c>
      <c r="N41" s="157">
        <v>539.02</v>
      </c>
      <c r="O41" s="40">
        <f t="shared" si="9"/>
        <v>0.0049999999999954525</v>
      </c>
      <c r="P41" s="42">
        <f t="shared" si="12"/>
        <v>100.00092761796981</v>
      </c>
      <c r="Q41" s="42"/>
      <c r="R41" s="100"/>
    </row>
    <row r="42" spans="1:18" s="6" customFormat="1" ht="30.75">
      <c r="A42" s="8"/>
      <c r="B42" s="35" t="s">
        <v>111</v>
      </c>
      <c r="C42" s="77">
        <v>22012600</v>
      </c>
      <c r="D42" s="33">
        <v>1500</v>
      </c>
      <c r="E42" s="33">
        <v>0</v>
      </c>
      <c r="F42" s="157">
        <v>1.03</v>
      </c>
      <c r="G42" s="36">
        <f t="shared" si="7"/>
        <v>1.03</v>
      </c>
      <c r="H42" s="32"/>
      <c r="I42" s="42">
        <f t="shared" si="8"/>
        <v>-1498.97</v>
      </c>
      <c r="J42" s="42">
        <f t="shared" si="11"/>
        <v>0.06866666666666667</v>
      </c>
      <c r="K42" s="42"/>
      <c r="L42" s="42"/>
      <c r="M42" s="33">
        <v>0</v>
      </c>
      <c r="N42" s="157">
        <v>1.03</v>
      </c>
      <c r="O42" s="40">
        <f t="shared" si="9"/>
        <v>1.03</v>
      </c>
      <c r="P42" s="42"/>
      <c r="Q42" s="42"/>
      <c r="R42" s="100"/>
    </row>
    <row r="43" spans="1:18" s="6" customFormat="1" ht="30.75">
      <c r="A43" s="8"/>
      <c r="B43" s="35" t="s">
        <v>125</v>
      </c>
      <c r="C43" s="77">
        <v>22012900</v>
      </c>
      <c r="D43" s="33">
        <v>50</v>
      </c>
      <c r="E43" s="33">
        <v>0</v>
      </c>
      <c r="F43" s="117">
        <v>0</v>
      </c>
      <c r="G43" s="36">
        <f t="shared" si="7"/>
        <v>0</v>
      </c>
      <c r="H43" s="32"/>
      <c r="I43" s="42">
        <f t="shared" si="8"/>
        <v>-50</v>
      </c>
      <c r="J43" s="42">
        <f t="shared" si="11"/>
        <v>0</v>
      </c>
      <c r="K43" s="42"/>
      <c r="L43" s="42"/>
      <c r="M43" s="33">
        <v>0</v>
      </c>
      <c r="N43" s="117">
        <v>0</v>
      </c>
      <c r="O43" s="40"/>
      <c r="P43" s="42"/>
      <c r="Q43" s="42"/>
      <c r="R43" s="100"/>
    </row>
    <row r="44" spans="1:18" s="6" customFormat="1" ht="30.75">
      <c r="A44" s="8"/>
      <c r="B44" s="145" t="s">
        <v>14</v>
      </c>
      <c r="C44" s="54">
        <v>22080400</v>
      </c>
      <c r="D44" s="33">
        <v>8500</v>
      </c>
      <c r="E44" s="33">
        <v>716.23</v>
      </c>
      <c r="F44" s="157">
        <v>716.23</v>
      </c>
      <c r="G44" s="36">
        <f t="shared" si="7"/>
        <v>0</v>
      </c>
      <c r="H44" s="32">
        <f t="shared" si="10"/>
        <v>100</v>
      </c>
      <c r="I44" s="42">
        <f t="shared" si="8"/>
        <v>-7783.77</v>
      </c>
      <c r="J44" s="42">
        <f t="shared" si="11"/>
        <v>8.426235294117648</v>
      </c>
      <c r="K44" s="42">
        <f>F44-690.7</f>
        <v>25.529999999999973</v>
      </c>
      <c r="L44" s="42">
        <f>F44/690.7*100</f>
        <v>103.69625018097581</v>
      </c>
      <c r="M44" s="33">
        <v>716.23</v>
      </c>
      <c r="N44" s="157">
        <v>716.23</v>
      </c>
      <c r="O44" s="40">
        <f t="shared" si="9"/>
        <v>0</v>
      </c>
      <c r="P44" s="42">
        <f t="shared" si="12"/>
        <v>100</v>
      </c>
      <c r="Q44" s="42"/>
      <c r="R44" s="100"/>
    </row>
    <row r="45" spans="1:18" s="6" customFormat="1" ht="15">
      <c r="A45" s="8"/>
      <c r="B45" s="145" t="s">
        <v>15</v>
      </c>
      <c r="C45" s="48">
        <v>22090000</v>
      </c>
      <c r="D45" s="33">
        <v>7300</v>
      </c>
      <c r="E45" s="33">
        <v>408.194</v>
      </c>
      <c r="F45" s="157">
        <v>408.2</v>
      </c>
      <c r="G45" s="36">
        <f t="shared" si="7"/>
        <v>0.005999999999971806</v>
      </c>
      <c r="H45" s="32">
        <f t="shared" si="10"/>
        <v>100.00146988931733</v>
      </c>
      <c r="I45" s="42">
        <f t="shared" si="8"/>
        <v>-6891.8</v>
      </c>
      <c r="J45" s="42">
        <f t="shared" si="11"/>
        <v>5.591780821917808</v>
      </c>
      <c r="K45" s="132">
        <f>F45-59.21</f>
        <v>348.99</v>
      </c>
      <c r="L45" s="132">
        <f>F45/59.21*100</f>
        <v>689.4105725384226</v>
      </c>
      <c r="M45" s="33">
        <v>408.194</v>
      </c>
      <c r="N45" s="157">
        <v>408.2</v>
      </c>
      <c r="O45" s="40">
        <f t="shared" si="9"/>
        <v>0.005999999999971806</v>
      </c>
      <c r="P45" s="132">
        <f t="shared" si="12"/>
        <v>100.00146988931733</v>
      </c>
      <c r="Q45" s="42"/>
      <c r="R45" s="100"/>
    </row>
    <row r="46" spans="1:18" s="6" customFormat="1" ht="15">
      <c r="A46" s="8"/>
      <c r="B46" s="55" t="s">
        <v>101</v>
      </c>
      <c r="C46" s="138">
        <v>22090100</v>
      </c>
      <c r="D46" s="109">
        <v>1100</v>
      </c>
      <c r="E46" s="109">
        <v>25.99</v>
      </c>
      <c r="F46" s="158">
        <v>25.99</v>
      </c>
      <c r="G46" s="36">
        <f t="shared" si="7"/>
        <v>0</v>
      </c>
      <c r="H46" s="111">
        <f t="shared" si="10"/>
        <v>100</v>
      </c>
      <c r="I46" s="110">
        <f t="shared" si="8"/>
        <v>-1074.01</v>
      </c>
      <c r="J46" s="110">
        <f t="shared" si="11"/>
        <v>2.362727272727273</v>
      </c>
      <c r="K46" s="110">
        <f>F46-51.96</f>
        <v>-25.970000000000002</v>
      </c>
      <c r="L46" s="110">
        <f>F46/51.96*100</f>
        <v>50.01924557351809</v>
      </c>
      <c r="M46" s="109">
        <v>25.99</v>
      </c>
      <c r="N46" s="158">
        <v>25.99</v>
      </c>
      <c r="O46" s="112">
        <f t="shared" si="9"/>
        <v>0</v>
      </c>
      <c r="P46" s="110">
        <f t="shared" si="12"/>
        <v>100</v>
      </c>
      <c r="Q46" s="42"/>
      <c r="R46" s="100"/>
    </row>
    <row r="47" spans="1:18" s="6" customFormat="1" ht="15">
      <c r="A47" s="8"/>
      <c r="B47" s="55" t="s">
        <v>98</v>
      </c>
      <c r="C47" s="138">
        <v>22090200</v>
      </c>
      <c r="D47" s="109">
        <v>45</v>
      </c>
      <c r="E47" s="109">
        <v>0.035</v>
      </c>
      <c r="F47" s="158">
        <v>0.04</v>
      </c>
      <c r="G47" s="36">
        <f t="shared" si="7"/>
        <v>0.0049999999999999975</v>
      </c>
      <c r="H47" s="111">
        <f t="shared" si="10"/>
        <v>114.28571428571428</v>
      </c>
      <c r="I47" s="110">
        <f t="shared" si="8"/>
        <v>-44.96</v>
      </c>
      <c r="J47" s="110">
        <f t="shared" si="11"/>
        <v>0.08888888888888889</v>
      </c>
      <c r="K47" s="110">
        <f>F47-0</f>
        <v>0.04</v>
      </c>
      <c r="L47" s="110"/>
      <c r="M47" s="109">
        <v>0.035</v>
      </c>
      <c r="N47" s="158">
        <v>0.04</v>
      </c>
      <c r="O47" s="112">
        <f t="shared" si="9"/>
        <v>0.0049999999999999975</v>
      </c>
      <c r="P47" s="110">
        <f t="shared" si="12"/>
        <v>114.28571428571428</v>
      </c>
      <c r="Q47" s="42"/>
      <c r="R47" s="100"/>
    </row>
    <row r="48" spans="1:18" s="6" customFormat="1" ht="15">
      <c r="A48" s="8"/>
      <c r="B48" s="55" t="s">
        <v>99</v>
      </c>
      <c r="C48" s="138">
        <v>22090300</v>
      </c>
      <c r="D48" s="109">
        <v>1</v>
      </c>
      <c r="E48" s="109">
        <v>0</v>
      </c>
      <c r="F48" s="158">
        <v>0</v>
      </c>
      <c r="G48" s="36">
        <f t="shared" si="7"/>
        <v>0</v>
      </c>
      <c r="H48" s="111"/>
      <c r="I48" s="110">
        <f t="shared" si="8"/>
        <v>-1</v>
      </c>
      <c r="J48" s="110">
        <f t="shared" si="11"/>
        <v>0</v>
      </c>
      <c r="K48" s="110">
        <f>F48-0</f>
        <v>0</v>
      </c>
      <c r="L48" s="110"/>
      <c r="M48" s="109">
        <v>0</v>
      </c>
      <c r="N48" s="158">
        <v>0</v>
      </c>
      <c r="O48" s="112">
        <f t="shared" si="9"/>
        <v>0</v>
      </c>
      <c r="P48" s="110"/>
      <c r="Q48" s="42"/>
      <c r="R48" s="100"/>
    </row>
    <row r="49" spans="1:18" s="6" customFormat="1" ht="15">
      <c r="A49" s="8"/>
      <c r="B49" s="55" t="s">
        <v>100</v>
      </c>
      <c r="C49" s="138">
        <v>22090400</v>
      </c>
      <c r="D49" s="109">
        <v>6154</v>
      </c>
      <c r="E49" s="109">
        <v>382.17</v>
      </c>
      <c r="F49" s="158">
        <v>382.17</v>
      </c>
      <c r="G49" s="36">
        <f t="shared" si="7"/>
        <v>0</v>
      </c>
      <c r="H49" s="111">
        <f t="shared" si="10"/>
        <v>100</v>
      </c>
      <c r="I49" s="110">
        <f t="shared" si="8"/>
        <v>-5771.83</v>
      </c>
      <c r="J49" s="110">
        <f t="shared" si="11"/>
        <v>6.210107247318817</v>
      </c>
      <c r="K49" s="110">
        <f>F49-7.25</f>
        <v>374.92</v>
      </c>
      <c r="L49" s="110">
        <f>F49/7.25*100</f>
        <v>5271.310344827587</v>
      </c>
      <c r="M49" s="109">
        <v>382.17</v>
      </c>
      <c r="N49" s="158">
        <v>382.17</v>
      </c>
      <c r="O49" s="112">
        <f t="shared" si="9"/>
        <v>0</v>
      </c>
      <c r="P49" s="110">
        <f t="shared" si="12"/>
        <v>100</v>
      </c>
      <c r="Q49" s="42"/>
      <c r="R49" s="100"/>
    </row>
    <row r="50" spans="1:18" s="6" customFormat="1" ht="46.5">
      <c r="A50" s="8"/>
      <c r="B50" s="13" t="s">
        <v>17</v>
      </c>
      <c r="C50" s="11" t="s">
        <v>18</v>
      </c>
      <c r="D50" s="33">
        <v>10</v>
      </c>
      <c r="E50" s="33">
        <v>0.17</v>
      </c>
      <c r="F50" s="157">
        <v>0.17</v>
      </c>
      <c r="G50" s="36">
        <f t="shared" si="7"/>
        <v>0</v>
      </c>
      <c r="H50" s="32"/>
      <c r="I50" s="42">
        <f t="shared" si="8"/>
        <v>-9.83</v>
      </c>
      <c r="J50" s="42"/>
      <c r="K50" s="42">
        <f>F50-0</f>
        <v>0.17</v>
      </c>
      <c r="L50" s="42"/>
      <c r="M50" s="33">
        <v>0.17</v>
      </c>
      <c r="N50" s="157">
        <v>0.17</v>
      </c>
      <c r="O50" s="40">
        <f t="shared" si="9"/>
        <v>0</v>
      </c>
      <c r="P50" s="42"/>
      <c r="Q50" s="42"/>
      <c r="R50" s="100"/>
    </row>
    <row r="51" spans="1:18" s="6" customFormat="1" ht="15.75" customHeight="1">
      <c r="A51" s="8"/>
      <c r="B51" s="146" t="s">
        <v>13</v>
      </c>
      <c r="C51" s="11" t="s">
        <v>19</v>
      </c>
      <c r="D51" s="33">
        <v>4800</v>
      </c>
      <c r="E51" s="33">
        <v>317.98</v>
      </c>
      <c r="F51" s="157">
        <v>317.98</v>
      </c>
      <c r="G51" s="36">
        <f t="shared" si="7"/>
        <v>0</v>
      </c>
      <c r="H51" s="32">
        <f t="shared" si="10"/>
        <v>100</v>
      </c>
      <c r="I51" s="42">
        <f t="shared" si="8"/>
        <v>-4482.02</v>
      </c>
      <c r="J51" s="42">
        <f t="shared" si="11"/>
        <v>6.624583333333334</v>
      </c>
      <c r="K51" s="42">
        <f>F51-263.2</f>
        <v>54.78000000000003</v>
      </c>
      <c r="L51" s="42">
        <f>F51/263.02*100</f>
        <v>120.89574937267129</v>
      </c>
      <c r="M51" s="33">
        <v>317.98</v>
      </c>
      <c r="N51" s="157">
        <v>317.98</v>
      </c>
      <c r="O51" s="40">
        <f t="shared" si="9"/>
        <v>0</v>
      </c>
      <c r="P51" s="42">
        <f t="shared" si="12"/>
        <v>100</v>
      </c>
      <c r="Q51" s="42"/>
      <c r="R51" s="100"/>
    </row>
    <row r="52" spans="1:18" s="6" customFormat="1" ht="15" hidden="1">
      <c r="A52" s="8"/>
      <c r="B52" s="12" t="s">
        <v>22</v>
      </c>
      <c r="C52" s="66" t="s">
        <v>23</v>
      </c>
      <c r="D52" s="33">
        <v>0</v>
      </c>
      <c r="E52" s="33">
        <v>0</v>
      </c>
      <c r="F52" s="157">
        <v>0</v>
      </c>
      <c r="G52" s="36">
        <f t="shared" si="7"/>
        <v>0</v>
      </c>
      <c r="H52" s="32" t="e">
        <f t="shared" si="10"/>
        <v>#DIV/0!</v>
      </c>
      <c r="I52" s="42">
        <f t="shared" si="8"/>
        <v>0</v>
      </c>
      <c r="J52" s="42" t="e">
        <f t="shared" si="11"/>
        <v>#DIV/0!</v>
      </c>
      <c r="K52" s="42"/>
      <c r="L52" s="42">
        <f>F52</f>
        <v>0</v>
      </c>
      <c r="M52" s="33">
        <v>0</v>
      </c>
      <c r="N52" s="157">
        <v>0</v>
      </c>
      <c r="O52" s="40">
        <f t="shared" si="9"/>
        <v>0</v>
      </c>
      <c r="P52" s="42" t="e">
        <f t="shared" si="12"/>
        <v>#DIV/0!</v>
      </c>
      <c r="Q52" s="42"/>
      <c r="R52" s="100"/>
    </row>
    <row r="53" spans="1:18" s="6" customFormat="1" ht="30.75">
      <c r="A53" s="8"/>
      <c r="B53" s="55" t="s">
        <v>43</v>
      </c>
      <c r="C53" s="66"/>
      <c r="D53" s="109"/>
      <c r="E53" s="109"/>
      <c r="F53" s="158">
        <v>70.16</v>
      </c>
      <c r="G53" s="36">
        <f t="shared" si="7"/>
        <v>70.16</v>
      </c>
      <c r="H53" s="32"/>
      <c r="I53" s="42">
        <f t="shared" si="8"/>
        <v>70.16</v>
      </c>
      <c r="J53" s="42"/>
      <c r="K53" s="112">
        <f>F53-82.7</f>
        <v>-12.540000000000006</v>
      </c>
      <c r="L53" s="112">
        <f>F53/82.7*100</f>
        <v>84.83675937122128</v>
      </c>
      <c r="M53" s="109"/>
      <c r="N53" s="158">
        <v>70.2</v>
      </c>
      <c r="O53" s="112">
        <f t="shared" si="9"/>
        <v>70.2</v>
      </c>
      <c r="P53" s="42"/>
      <c r="Q53" s="42"/>
      <c r="R53" s="100"/>
    </row>
    <row r="54" spans="1:18" s="6" customFormat="1" ht="15" hidden="1">
      <c r="A54" s="8"/>
      <c r="B54" s="146" t="s">
        <v>20</v>
      </c>
      <c r="C54" s="143" t="s">
        <v>21</v>
      </c>
      <c r="D54" s="36">
        <v>0</v>
      </c>
      <c r="E54" s="36">
        <v>0</v>
      </c>
      <c r="F54" s="125">
        <v>0</v>
      </c>
      <c r="G54" s="36">
        <f t="shared" si="7"/>
        <v>0</v>
      </c>
      <c r="H54" s="32"/>
      <c r="I54" s="42">
        <f t="shared" si="8"/>
        <v>0</v>
      </c>
      <c r="J54" s="42"/>
      <c r="K54" s="112"/>
      <c r="L54" s="112"/>
      <c r="M54" s="36">
        <v>0</v>
      </c>
      <c r="N54" s="125">
        <v>0</v>
      </c>
      <c r="O54" s="40">
        <f t="shared" si="9"/>
        <v>0</v>
      </c>
      <c r="P54" s="42"/>
      <c r="Q54" s="42"/>
      <c r="R54" s="100"/>
    </row>
    <row r="55" spans="1:18" s="6" customFormat="1" ht="44.25" customHeight="1">
      <c r="A55" s="8"/>
      <c r="B55" s="146" t="s">
        <v>44</v>
      </c>
      <c r="C55" s="48">
        <v>24061900</v>
      </c>
      <c r="D55" s="33">
        <v>20</v>
      </c>
      <c r="E55" s="33">
        <v>20</v>
      </c>
      <c r="F55" s="117">
        <v>32.19</v>
      </c>
      <c r="G55" s="36">
        <f t="shared" si="7"/>
        <v>12.189999999999998</v>
      </c>
      <c r="H55" s="32"/>
      <c r="I55" s="42">
        <f t="shared" si="8"/>
        <v>12.189999999999998</v>
      </c>
      <c r="J55" s="42"/>
      <c r="K55" s="42">
        <f>F55-0</f>
        <v>32.19</v>
      </c>
      <c r="L55" s="42"/>
      <c r="M55" s="33">
        <v>20</v>
      </c>
      <c r="N55" s="117">
        <v>32.19</v>
      </c>
      <c r="O55" s="40">
        <f t="shared" si="9"/>
        <v>12.189999999999998</v>
      </c>
      <c r="P55" s="42"/>
      <c r="Q55" s="42"/>
      <c r="R55" s="100"/>
    </row>
    <row r="56" spans="1:18" s="6" customFormat="1" ht="15">
      <c r="A56" s="8"/>
      <c r="B56" s="12" t="s">
        <v>45</v>
      </c>
      <c r="C56" s="48">
        <v>31010200</v>
      </c>
      <c r="D56" s="33">
        <v>30</v>
      </c>
      <c r="E56" s="33">
        <v>1</v>
      </c>
      <c r="F56" s="157">
        <v>1</v>
      </c>
      <c r="G56" s="36">
        <f t="shared" si="7"/>
        <v>0</v>
      </c>
      <c r="H56" s="32">
        <f t="shared" si="10"/>
        <v>100</v>
      </c>
      <c r="I56" s="42">
        <f t="shared" si="8"/>
        <v>-29</v>
      </c>
      <c r="J56" s="42">
        <f t="shared" si="11"/>
        <v>3.3333333333333335</v>
      </c>
      <c r="K56" s="42">
        <f>F56-1.8</f>
        <v>-0.8</v>
      </c>
      <c r="L56" s="42">
        <f>F56/1.8*100</f>
        <v>55.55555555555556</v>
      </c>
      <c r="M56" s="33">
        <v>1</v>
      </c>
      <c r="N56" s="157">
        <v>1</v>
      </c>
      <c r="O56" s="40">
        <f t="shared" si="9"/>
        <v>0</v>
      </c>
      <c r="P56" s="42">
        <f t="shared" si="12"/>
        <v>100</v>
      </c>
      <c r="Q56" s="42"/>
      <c r="R56" s="100"/>
    </row>
    <row r="57" spans="1:18" s="6" customFormat="1" ht="30.75">
      <c r="A57" s="8"/>
      <c r="B57" s="12" t="s">
        <v>58</v>
      </c>
      <c r="C57" s="48">
        <v>31020000</v>
      </c>
      <c r="D57" s="33">
        <v>0.6</v>
      </c>
      <c r="E57" s="33">
        <v>0</v>
      </c>
      <c r="F57" s="157">
        <v>0</v>
      </c>
      <c r="G57" s="36">
        <f t="shared" si="7"/>
        <v>0</v>
      </c>
      <c r="H57" s="32"/>
      <c r="I57" s="42">
        <f t="shared" si="8"/>
        <v>-0.6</v>
      </c>
      <c r="J57" s="42"/>
      <c r="K57" s="42">
        <f>F57-0.02</f>
        <v>-0.02</v>
      </c>
      <c r="L57" s="42"/>
      <c r="M57" s="33">
        <v>0</v>
      </c>
      <c r="N57" s="157">
        <v>0</v>
      </c>
      <c r="O57" s="40">
        <f t="shared" si="9"/>
        <v>0</v>
      </c>
      <c r="P57" s="42"/>
      <c r="Q57" s="42"/>
      <c r="R57" s="100"/>
    </row>
    <row r="58" spans="1:20" s="6" customFormat="1" ht="17.25">
      <c r="A58" s="9"/>
      <c r="B58" s="14" t="s">
        <v>28</v>
      </c>
      <c r="C58" s="67"/>
      <c r="D58" s="15">
        <f>D8+D33+D56+D57</f>
        <v>883900.6</v>
      </c>
      <c r="E58" s="156">
        <f>E8+E33+E56+E57</f>
        <v>62589.529</v>
      </c>
      <c r="F58" s="15">
        <f>F8+F33+F56+F57</f>
        <v>62612.6</v>
      </c>
      <c r="G58" s="37">
        <f>F58-E58</f>
        <v>23.070999999996275</v>
      </c>
      <c r="H58" s="38">
        <f>F58/E58*100</f>
        <v>100.0368607982335</v>
      </c>
      <c r="I58" s="28">
        <f>F58-D58</f>
        <v>-821288</v>
      </c>
      <c r="J58" s="28">
        <f>F58/D58*100</f>
        <v>7.083669815361591</v>
      </c>
      <c r="K58" s="28">
        <f>K8+K33+K56+K57</f>
        <v>23873.059999999998</v>
      </c>
      <c r="L58" s="28">
        <f>F58/38738.5*100</f>
        <v>161.62887050350426</v>
      </c>
      <c r="M58" s="15">
        <f>M8+M33+M56+M57</f>
        <v>62589.529</v>
      </c>
      <c r="N58" s="15">
        <f>N8+N33+N56+N57</f>
        <v>62612.6</v>
      </c>
      <c r="O58" s="41">
        <f>N58-M58</f>
        <v>23.070999999996275</v>
      </c>
      <c r="P58" s="28">
        <f>N58/M58*100</f>
        <v>100.0368607982335</v>
      </c>
      <c r="Q58" s="28">
        <f>N58-34768</f>
        <v>27844.6</v>
      </c>
      <c r="R58" s="128">
        <f>N58/34768</f>
        <v>1.8008686148182236</v>
      </c>
      <c r="T58" s="147"/>
    </row>
    <row r="59" spans="1:18" s="53" customFormat="1" ht="17.25" hidden="1">
      <c r="A59" s="50"/>
      <c r="B59" s="60"/>
      <c r="C59" s="68"/>
      <c r="D59" s="51"/>
      <c r="E59" s="51"/>
      <c r="F59" s="88"/>
      <c r="G59" s="82"/>
      <c r="H59" s="52"/>
      <c r="I59" s="59"/>
      <c r="J59" s="39"/>
      <c r="K59" s="39"/>
      <c r="L59" s="39"/>
      <c r="M59" s="52"/>
      <c r="N59" s="51"/>
      <c r="O59" s="85"/>
      <c r="P59" s="39"/>
      <c r="Q59" s="39"/>
      <c r="R59" s="102"/>
    </row>
    <row r="60" spans="1:18" s="53" customFormat="1" ht="17.25" hidden="1">
      <c r="A60" s="50"/>
      <c r="B60" s="61"/>
      <c r="C60" s="68"/>
      <c r="D60" s="62"/>
      <c r="E60" s="51"/>
      <c r="F60" s="88"/>
      <c r="G60" s="45"/>
      <c r="H60" s="52"/>
      <c r="I60" s="63"/>
      <c r="J60" s="39"/>
      <c r="K60" s="39"/>
      <c r="L60" s="39"/>
      <c r="M60" s="32"/>
      <c r="N60" s="51"/>
      <c r="O60" s="64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36"/>
      <c r="F61" s="121"/>
      <c r="G61" s="45"/>
      <c r="H61" s="52"/>
      <c r="I61" s="63"/>
      <c r="J61" s="39"/>
      <c r="K61" s="39"/>
      <c r="L61" s="39"/>
      <c r="M61" s="32"/>
      <c r="N61" s="62"/>
      <c r="O61" s="85"/>
      <c r="P61" s="39"/>
      <c r="Q61" s="39"/>
      <c r="R61" s="102"/>
    </row>
    <row r="62" spans="2:18" ht="15">
      <c r="B62" s="22" t="s">
        <v>29</v>
      </c>
      <c r="C62" s="69"/>
      <c r="D62" s="25"/>
      <c r="E62" s="25"/>
      <c r="F62" s="120"/>
      <c r="G62" s="36"/>
      <c r="H62" s="32"/>
      <c r="I62" s="43"/>
      <c r="J62" s="43"/>
      <c r="K62" s="43"/>
      <c r="L62" s="43"/>
      <c r="M62" s="33"/>
      <c r="N62" s="33"/>
      <c r="O62" s="40"/>
      <c r="P62" s="43"/>
      <c r="Q62" s="43"/>
      <c r="R62" s="103"/>
    </row>
    <row r="63" spans="2:18" ht="25.5" customHeight="1">
      <c r="B63" s="149" t="s">
        <v>112</v>
      </c>
      <c r="C63" s="150">
        <v>12020000</v>
      </c>
      <c r="D63" s="25">
        <v>0</v>
      </c>
      <c r="E63" s="25">
        <v>0</v>
      </c>
      <c r="F63" s="163">
        <v>8.75</v>
      </c>
      <c r="G63" s="36"/>
      <c r="H63" s="32"/>
      <c r="I63" s="43"/>
      <c r="J63" s="43"/>
      <c r="K63" s="43"/>
      <c r="L63" s="43"/>
      <c r="M63" s="25">
        <v>0</v>
      </c>
      <c r="N63" s="163">
        <v>8.75</v>
      </c>
      <c r="O63" s="40"/>
      <c r="P63" s="43"/>
      <c r="Q63" s="43"/>
      <c r="R63" s="103"/>
    </row>
    <row r="64" spans="2:18" ht="30.75">
      <c r="B64" s="23" t="s">
        <v>63</v>
      </c>
      <c r="C64" s="78">
        <v>18041500</v>
      </c>
      <c r="D64" s="25">
        <v>0</v>
      </c>
      <c r="E64" s="25">
        <v>0</v>
      </c>
      <c r="F64" s="163">
        <v>-0.27</v>
      </c>
      <c r="G64" s="36">
        <f>F64-E64</f>
        <v>-0.27</v>
      </c>
      <c r="H64" s="32"/>
      <c r="I64" s="43">
        <f>F64-D64</f>
        <v>-0.27</v>
      </c>
      <c r="J64" s="43"/>
      <c r="K64" s="40">
        <f>F64-4.4</f>
        <v>-4.67</v>
      </c>
      <c r="L64" s="43"/>
      <c r="M64" s="25">
        <v>0</v>
      </c>
      <c r="N64" s="163">
        <v>-0.27</v>
      </c>
      <c r="O64" s="40">
        <f>N64-M64</f>
        <v>-0.27</v>
      </c>
      <c r="P64" s="43"/>
      <c r="Q64" s="43"/>
      <c r="R64" s="103"/>
    </row>
    <row r="65" spans="2:18" ht="15">
      <c r="B65" s="29" t="s">
        <v>46</v>
      </c>
      <c r="C65" s="79"/>
      <c r="D65" s="30">
        <f>D64</f>
        <v>0</v>
      </c>
      <c r="E65" s="30">
        <f>E64</f>
        <v>0</v>
      </c>
      <c r="F65" s="119">
        <f>SUM(F63:F64)</f>
        <v>8.48</v>
      </c>
      <c r="G65" s="45">
        <f>F65-E65</f>
        <v>8.48</v>
      </c>
      <c r="H65" s="52"/>
      <c r="I65" s="44">
        <f>F65-D65</f>
        <v>8.48</v>
      </c>
      <c r="J65" s="44"/>
      <c r="K65" s="44">
        <f>K63+K64</f>
        <v>-4.67</v>
      </c>
      <c r="L65" s="44"/>
      <c r="M65" s="45">
        <f>M64</f>
        <v>0</v>
      </c>
      <c r="N65" s="30">
        <f>SUM(N63:N64)</f>
        <v>8.48</v>
      </c>
      <c r="O65" s="44">
        <f>N65-M65</f>
        <v>8.48</v>
      </c>
      <c r="P65" s="44"/>
      <c r="Q65" s="44"/>
      <c r="R65" s="104"/>
    </row>
    <row r="66" spans="2:18" ht="46.5" hidden="1">
      <c r="B66" s="23" t="s">
        <v>38</v>
      </c>
      <c r="C66" s="79">
        <v>21110000</v>
      </c>
      <c r="D66" s="25">
        <v>0</v>
      </c>
      <c r="E66" s="25"/>
      <c r="F66" s="120">
        <v>0</v>
      </c>
      <c r="G66" s="36" t="e">
        <f>#N/A</f>
        <v>#N/A</v>
      </c>
      <c r="H66" s="32" t="e">
        <f>F66/E66*100</f>
        <v>#DIV/0!</v>
      </c>
      <c r="I66" s="43" t="e">
        <f>#N/A</f>
        <v>#N/A</v>
      </c>
      <c r="J66" s="43" t="e">
        <f>#N/A</f>
        <v>#N/A</v>
      </c>
      <c r="K66" s="43"/>
      <c r="L66" s="43"/>
      <c r="M66" s="33">
        <v>0</v>
      </c>
      <c r="N66" s="33">
        <f>F66</f>
        <v>0</v>
      </c>
      <c r="O66" s="40" t="e">
        <f>#N/A</f>
        <v>#N/A</v>
      </c>
      <c r="P66" s="43"/>
      <c r="Q66" s="43"/>
      <c r="R66" s="103"/>
    </row>
    <row r="67" spans="2:18" ht="30.75">
      <c r="B67" s="23" t="s">
        <v>30</v>
      </c>
      <c r="C67" s="78">
        <v>31030000</v>
      </c>
      <c r="D67" s="25">
        <v>4200</v>
      </c>
      <c r="E67" s="25">
        <v>0</v>
      </c>
      <c r="F67" s="163">
        <v>0.06</v>
      </c>
      <c r="G67" s="36">
        <f aca="true" t="shared" si="13" ref="G67:G77">F67-E67</f>
        <v>0.06</v>
      </c>
      <c r="H67" s="32"/>
      <c r="I67" s="43">
        <f aca="true" t="shared" si="14" ref="I67:I77">F67-D67</f>
        <v>-4199.94</v>
      </c>
      <c r="J67" s="43"/>
      <c r="K67" s="43">
        <f>F67-0.03</f>
        <v>0.03</v>
      </c>
      <c r="L67" s="43">
        <f>F67/0.03*100</f>
        <v>200</v>
      </c>
      <c r="M67" s="25">
        <v>0</v>
      </c>
      <c r="N67" s="163">
        <v>0.06</v>
      </c>
      <c r="O67" s="40">
        <f aca="true" t="shared" si="15" ref="O67:O80">N67-M67</f>
        <v>0.06</v>
      </c>
      <c r="P67" s="43"/>
      <c r="Q67" s="43"/>
      <c r="R67" s="103"/>
    </row>
    <row r="68" spans="2:18" ht="15">
      <c r="B68" s="23" t="s">
        <v>31</v>
      </c>
      <c r="C68" s="78">
        <v>33010000</v>
      </c>
      <c r="D68" s="25">
        <v>7459</v>
      </c>
      <c r="E68" s="25">
        <v>0</v>
      </c>
      <c r="F68" s="163">
        <v>22.91</v>
      </c>
      <c r="G68" s="36">
        <f t="shared" si="13"/>
        <v>22.91</v>
      </c>
      <c r="H68" s="32"/>
      <c r="I68" s="43">
        <f t="shared" si="14"/>
        <v>-7436.09</v>
      </c>
      <c r="J68" s="43"/>
      <c r="K68" s="43">
        <f>F68-259.69</f>
        <v>-236.78</v>
      </c>
      <c r="L68" s="43">
        <f>F68/259.69*100</f>
        <v>8.822057068042666</v>
      </c>
      <c r="M68" s="25">
        <v>0</v>
      </c>
      <c r="N68" s="163">
        <v>22.91</v>
      </c>
      <c r="O68" s="40">
        <f t="shared" si="15"/>
        <v>22.91</v>
      </c>
      <c r="P68" s="43"/>
      <c r="Q68" s="43"/>
      <c r="R68" s="103"/>
    </row>
    <row r="69" spans="2:18" ht="30.75">
      <c r="B69" s="23" t="s">
        <v>55</v>
      </c>
      <c r="C69" s="78">
        <v>24170000</v>
      </c>
      <c r="D69" s="25">
        <v>6000</v>
      </c>
      <c r="E69" s="25">
        <v>0</v>
      </c>
      <c r="F69" s="163">
        <v>282.85</v>
      </c>
      <c r="G69" s="36">
        <f t="shared" si="13"/>
        <v>282.85</v>
      </c>
      <c r="H69" s="32"/>
      <c r="I69" s="43">
        <f t="shared" si="14"/>
        <v>-5717.15</v>
      </c>
      <c r="J69" s="43"/>
      <c r="K69" s="43">
        <f>F69-(-16.04)</f>
        <v>298.89000000000004</v>
      </c>
      <c r="L69" s="43">
        <f>F69/(-16.04)*100</f>
        <v>-1763.4039900249381</v>
      </c>
      <c r="M69" s="25">
        <v>0</v>
      </c>
      <c r="N69" s="163">
        <v>282.85</v>
      </c>
      <c r="O69" s="40">
        <f t="shared" si="15"/>
        <v>282.85</v>
      </c>
      <c r="P69" s="43"/>
      <c r="Q69" s="43"/>
      <c r="R69" s="103"/>
    </row>
    <row r="70" spans="2:18" ht="15">
      <c r="B70" s="23" t="s">
        <v>113</v>
      </c>
      <c r="C70" s="78">
        <v>24110700</v>
      </c>
      <c r="D70" s="25">
        <v>12</v>
      </c>
      <c r="E70" s="25">
        <v>0</v>
      </c>
      <c r="F70" s="163">
        <v>1</v>
      </c>
      <c r="G70" s="36">
        <f t="shared" si="13"/>
        <v>1</v>
      </c>
      <c r="H70" s="32"/>
      <c r="I70" s="43">
        <f t="shared" si="14"/>
        <v>-11</v>
      </c>
      <c r="J70" s="43"/>
      <c r="K70" s="43">
        <f>F70-0</f>
        <v>1</v>
      </c>
      <c r="L70" s="43"/>
      <c r="M70" s="25">
        <v>0</v>
      </c>
      <c r="N70" s="163">
        <v>1</v>
      </c>
      <c r="O70" s="40"/>
      <c r="P70" s="43"/>
      <c r="Q70" s="43"/>
      <c r="R70" s="151"/>
    </row>
    <row r="71" spans="2:18" ht="33">
      <c r="B71" s="29" t="s">
        <v>52</v>
      </c>
      <c r="C71" s="70"/>
      <c r="D71" s="30">
        <f>D67+D68+D69+D70</f>
        <v>17671</v>
      </c>
      <c r="E71" s="30">
        <f>E67+E68+E69+E70</f>
        <v>0</v>
      </c>
      <c r="F71" s="119">
        <f>F67+F68+F69+F70</f>
        <v>306.82000000000005</v>
      </c>
      <c r="G71" s="45">
        <f t="shared" si="13"/>
        <v>306.82000000000005</v>
      </c>
      <c r="H71" s="52"/>
      <c r="I71" s="44">
        <f t="shared" si="14"/>
        <v>-17364.18</v>
      </c>
      <c r="J71" s="44"/>
      <c r="K71" s="44">
        <f>K67+K68+K69+K70</f>
        <v>63.14000000000004</v>
      </c>
      <c r="L71" s="44">
        <f>F71/243.68*100</f>
        <v>125.91103086014448</v>
      </c>
      <c r="M71" s="45">
        <f>M67+M68+M69+M70</f>
        <v>0</v>
      </c>
      <c r="N71" s="45">
        <f>N67+N68+N69+N70</f>
        <v>306.82000000000005</v>
      </c>
      <c r="O71" s="44">
        <f t="shared" si="15"/>
        <v>306.82000000000005</v>
      </c>
      <c r="P71" s="44"/>
      <c r="Q71" s="44"/>
      <c r="R71" s="129"/>
    </row>
    <row r="72" spans="2:18" ht="46.5">
      <c r="B72" s="12" t="s">
        <v>41</v>
      </c>
      <c r="C72" s="80">
        <v>24062100</v>
      </c>
      <c r="D72" s="25">
        <v>1</v>
      </c>
      <c r="E72" s="25">
        <v>0</v>
      </c>
      <c r="F72" s="120">
        <v>0</v>
      </c>
      <c r="G72" s="36">
        <f t="shared" si="13"/>
        <v>0</v>
      </c>
      <c r="H72" s="32"/>
      <c r="I72" s="43">
        <f t="shared" si="14"/>
        <v>-1</v>
      </c>
      <c r="J72" s="43"/>
      <c r="K72" s="43">
        <f>F72-0</f>
        <v>0</v>
      </c>
      <c r="L72" s="43"/>
      <c r="M72" s="25">
        <v>0</v>
      </c>
      <c r="N72" s="120">
        <v>0</v>
      </c>
      <c r="O72" s="40">
        <f t="shared" si="15"/>
        <v>0</v>
      </c>
      <c r="P72" s="43"/>
      <c r="Q72" s="43"/>
      <c r="R72" s="103"/>
    </row>
    <row r="73" spans="2:18" ht="15" hidden="1">
      <c r="B73" s="23" t="s">
        <v>53</v>
      </c>
      <c r="C73" s="78">
        <v>24061600</v>
      </c>
      <c r="D73" s="25">
        <v>0</v>
      </c>
      <c r="E73" s="25">
        <v>0</v>
      </c>
      <c r="F73" s="120">
        <v>0</v>
      </c>
      <c r="G73" s="36">
        <f t="shared" si="13"/>
        <v>0</v>
      </c>
      <c r="H73" s="32"/>
      <c r="I73" s="43">
        <f t="shared" si="14"/>
        <v>0</v>
      </c>
      <c r="J73" s="46"/>
      <c r="K73" s="40">
        <f>F73-0</f>
        <v>0</v>
      </c>
      <c r="L73" s="43">
        <f>F73/19.48*100</f>
        <v>0</v>
      </c>
      <c r="M73" s="25">
        <v>0</v>
      </c>
      <c r="N73" s="120">
        <v>0</v>
      </c>
      <c r="O73" s="40">
        <f t="shared" si="15"/>
        <v>0</v>
      </c>
      <c r="P73" s="46"/>
      <c r="Q73" s="46"/>
      <c r="R73" s="105"/>
    </row>
    <row r="74" spans="2:18" ht="15">
      <c r="B74" s="23" t="s">
        <v>47</v>
      </c>
      <c r="C74" s="78">
        <v>19010000</v>
      </c>
      <c r="D74" s="25">
        <v>9500</v>
      </c>
      <c r="E74" s="25"/>
      <c r="F74" s="120">
        <v>0</v>
      </c>
      <c r="G74" s="36"/>
      <c r="H74" s="32"/>
      <c r="I74" s="43">
        <f t="shared" si="14"/>
        <v>-9500</v>
      </c>
      <c r="J74" s="40">
        <f>F74/D74*100</f>
        <v>0</v>
      </c>
      <c r="K74" s="40"/>
      <c r="L74" s="43"/>
      <c r="M74" s="25"/>
      <c r="N74" s="120">
        <v>0</v>
      </c>
      <c r="O74" s="40"/>
      <c r="P74" s="46"/>
      <c r="Q74" s="46"/>
      <c r="R74" s="105"/>
    </row>
    <row r="75" spans="2:18" ht="30.75">
      <c r="B75" s="23" t="s">
        <v>51</v>
      </c>
      <c r="C75" s="78">
        <v>19050000</v>
      </c>
      <c r="D75" s="25">
        <v>0</v>
      </c>
      <c r="E75" s="25">
        <v>0</v>
      </c>
      <c r="F75" s="120">
        <v>0.12</v>
      </c>
      <c r="G75" s="36">
        <f t="shared" si="13"/>
        <v>0.12</v>
      </c>
      <c r="H75" s="32"/>
      <c r="I75" s="43">
        <f t="shared" si="14"/>
        <v>0.12</v>
      </c>
      <c r="J75" s="43"/>
      <c r="K75" s="43">
        <f>F75-0.17</f>
        <v>-0.05000000000000002</v>
      </c>
      <c r="L75" s="43">
        <f>F75/0.17*100</f>
        <v>70.58823529411764</v>
      </c>
      <c r="M75" s="25">
        <v>0</v>
      </c>
      <c r="N75" s="120">
        <v>0.12</v>
      </c>
      <c r="O75" s="40">
        <f t="shared" si="15"/>
        <v>0.12</v>
      </c>
      <c r="P75" s="43"/>
      <c r="Q75" s="43"/>
      <c r="R75" s="103"/>
    </row>
    <row r="76" spans="2:18" ht="30">
      <c r="B76" s="29" t="s">
        <v>48</v>
      </c>
      <c r="C76" s="78"/>
      <c r="D76" s="30">
        <f>D72+D75+D73+D74</f>
        <v>9501</v>
      </c>
      <c r="E76" s="30">
        <f>E72+E75+E73+E74</f>
        <v>0</v>
      </c>
      <c r="F76" s="153">
        <f>F72+F75+F73+F74</f>
        <v>0.12</v>
      </c>
      <c r="G76" s="30">
        <f>G72+G75+G73+G74</f>
        <v>0.12</v>
      </c>
      <c r="H76" s="52"/>
      <c r="I76" s="44">
        <f t="shared" si="14"/>
        <v>-9500.88</v>
      </c>
      <c r="J76" s="44"/>
      <c r="K76" s="44">
        <f>K72+K73+K75+K74</f>
        <v>-0.05000000000000002</v>
      </c>
      <c r="L76" s="44">
        <f>F76/0.17*100</f>
        <v>70.58823529411764</v>
      </c>
      <c r="M76" s="45">
        <f>M72+M75+M73+M74</f>
        <v>0</v>
      </c>
      <c r="N76" s="45">
        <f>N72+N75+N73+N74</f>
        <v>0.12</v>
      </c>
      <c r="O76" s="45">
        <f>O72+O75+O73+O74</f>
        <v>0.12</v>
      </c>
      <c r="P76" s="44"/>
      <c r="Q76" s="44"/>
      <c r="R76" s="102"/>
    </row>
    <row r="77" spans="2:18" ht="30.75">
      <c r="B77" s="12" t="s">
        <v>42</v>
      </c>
      <c r="C77" s="48">
        <v>24110900</v>
      </c>
      <c r="D77" s="25">
        <v>43</v>
      </c>
      <c r="E77" s="25">
        <v>0</v>
      </c>
      <c r="F77" s="120">
        <v>0.35</v>
      </c>
      <c r="G77" s="36">
        <f t="shared" si="13"/>
        <v>0.35</v>
      </c>
      <c r="H77" s="32"/>
      <c r="I77" s="43">
        <f t="shared" si="14"/>
        <v>-42.65</v>
      </c>
      <c r="J77" s="43"/>
      <c r="K77" s="43">
        <f>F77-0.59</f>
        <v>-0.24</v>
      </c>
      <c r="L77" s="43">
        <f>F77/0.59*100</f>
        <v>59.32203389830508</v>
      </c>
      <c r="M77" s="25">
        <v>0</v>
      </c>
      <c r="N77" s="120">
        <v>0.35</v>
      </c>
      <c r="O77" s="40">
        <f t="shared" si="15"/>
        <v>0.35</v>
      </c>
      <c r="P77" s="43"/>
      <c r="Q77" s="43"/>
      <c r="R77" s="103"/>
    </row>
    <row r="78" spans="2:18" ht="15" hidden="1">
      <c r="B78" s="137"/>
      <c r="C78" s="48"/>
      <c r="D78" s="25"/>
      <c r="E78" s="25"/>
      <c r="F78" s="120"/>
      <c r="G78" s="36"/>
      <c r="H78" s="32"/>
      <c r="I78" s="43"/>
      <c r="J78" s="43"/>
      <c r="K78" s="43">
        <f>F78-0</f>
        <v>0</v>
      </c>
      <c r="L78" s="43"/>
      <c r="M78" s="32">
        <f>E78</f>
        <v>0</v>
      </c>
      <c r="N78" s="32">
        <f>F78</f>
        <v>0</v>
      </c>
      <c r="O78" s="40">
        <f t="shared" si="15"/>
        <v>0</v>
      </c>
      <c r="P78" s="43"/>
      <c r="Q78" s="43"/>
      <c r="R78" s="103"/>
    </row>
    <row r="79" spans="2:18" ht="23.25" customHeight="1">
      <c r="B79" s="14" t="s">
        <v>32</v>
      </c>
      <c r="C79" s="71"/>
      <c r="D79" s="24">
        <f>D65+D77+D71+D76</f>
        <v>27215</v>
      </c>
      <c r="E79" s="24">
        <f>E65+E77+E71+E76</f>
        <v>0</v>
      </c>
      <c r="F79" s="24">
        <f>F65+F77+F71+F76+F78</f>
        <v>315.77000000000004</v>
      </c>
      <c r="G79" s="37">
        <f>F79-E79</f>
        <v>315.77000000000004</v>
      </c>
      <c r="H79" s="38"/>
      <c r="I79" s="28">
        <f>F79-D79</f>
        <v>-26899.23</v>
      </c>
      <c r="J79" s="28"/>
      <c r="K79" s="28">
        <f>K65+K71+K76+K77</f>
        <v>58.18000000000004</v>
      </c>
      <c r="L79" s="28">
        <f>F79/248.84*100</f>
        <v>126.8968011573702</v>
      </c>
      <c r="M79" s="24">
        <f>M65+M77+M71+M76</f>
        <v>0</v>
      </c>
      <c r="N79" s="24">
        <f>N65+N77+N71+N76+N78</f>
        <v>315.77000000000004</v>
      </c>
      <c r="O79" s="28">
        <f t="shared" si="15"/>
        <v>315.77000000000004</v>
      </c>
      <c r="P79" s="28"/>
      <c r="Q79" s="28">
        <f>N79-8104.96</f>
        <v>-7789.19</v>
      </c>
      <c r="R79" s="101">
        <f>N79/8104.96</f>
        <v>0.038960093572331024</v>
      </c>
    </row>
    <row r="80" spans="2:18" ht="17.25">
      <c r="B80" s="21" t="s">
        <v>33</v>
      </c>
      <c r="C80" s="71"/>
      <c r="D80" s="24">
        <f>D58+D79</f>
        <v>911115.6</v>
      </c>
      <c r="E80" s="24">
        <f>E58+E79</f>
        <v>62589.529</v>
      </c>
      <c r="F80" s="165">
        <f>F58+F79</f>
        <v>62928.369999999995</v>
      </c>
      <c r="G80" s="37">
        <f>F80-E80</f>
        <v>338.8409999999931</v>
      </c>
      <c r="H80" s="38">
        <f>F80/E80*100</f>
        <v>100.5413701068113</v>
      </c>
      <c r="I80" s="28">
        <f>F80-D80</f>
        <v>-848187.23</v>
      </c>
      <c r="J80" s="28">
        <f>F80/D80*100</f>
        <v>6.9067382887528215</v>
      </c>
      <c r="K80" s="28">
        <f>K58+K79</f>
        <v>23931.239999999998</v>
      </c>
      <c r="L80" s="28">
        <f>F80/38987.36*100</f>
        <v>161.4071073291446</v>
      </c>
      <c r="M80" s="15">
        <f>M58+M79</f>
        <v>62589.529</v>
      </c>
      <c r="N80" s="15">
        <f>N58+N79</f>
        <v>62928.369999999995</v>
      </c>
      <c r="O80" s="28">
        <f t="shared" si="15"/>
        <v>338.8409999999931</v>
      </c>
      <c r="P80" s="28">
        <f>N80/M80*100</f>
        <v>100.5413701068113</v>
      </c>
      <c r="Q80" s="28">
        <f>N80-42872.96</f>
        <v>20055.409999999996</v>
      </c>
      <c r="R80" s="101">
        <f>N80/42872.96</f>
        <v>1.4677869221066144</v>
      </c>
    </row>
    <row r="81" spans="2:14" ht="15">
      <c r="B81" s="20" t="s">
        <v>35</v>
      </c>
      <c r="N81" s="26"/>
    </row>
    <row r="82" spans="2:4" ht="15">
      <c r="B82" s="4" t="s">
        <v>37</v>
      </c>
      <c r="C82" s="81">
        <v>0</v>
      </c>
      <c r="D82" s="4" t="s">
        <v>36</v>
      </c>
    </row>
    <row r="83" spans="2:17" ht="30.75">
      <c r="B83" s="57" t="s">
        <v>54</v>
      </c>
      <c r="C83" s="31">
        <f>IF(O58&lt;0,ABS(O58/C82),0)</f>
        <v>0</v>
      </c>
      <c r="D83" s="4" t="s">
        <v>24</v>
      </c>
      <c r="G83" s="294"/>
      <c r="H83" s="294"/>
      <c r="I83" s="294"/>
      <c r="J83" s="294"/>
      <c r="K83" s="90"/>
      <c r="L83" s="90"/>
      <c r="P83" s="26"/>
      <c r="Q83" s="26"/>
    </row>
    <row r="84" spans="2:15" ht="34.5" customHeight="1">
      <c r="B84" s="58" t="s">
        <v>56</v>
      </c>
      <c r="C84" s="87">
        <v>42398</v>
      </c>
      <c r="D84" s="31">
        <v>8683.3</v>
      </c>
      <c r="G84" s="4" t="s">
        <v>59</v>
      </c>
      <c r="N84" s="286"/>
      <c r="O84" s="286"/>
    </row>
    <row r="85" spans="3:15" ht="15">
      <c r="C85" s="87">
        <v>42397</v>
      </c>
      <c r="D85" s="31">
        <v>8685</v>
      </c>
      <c r="F85" s="124" t="s">
        <v>59</v>
      </c>
      <c r="G85" s="280"/>
      <c r="H85" s="280"/>
      <c r="I85" s="131"/>
      <c r="J85" s="283"/>
      <c r="K85" s="283"/>
      <c r="L85" s="283"/>
      <c r="M85" s="283"/>
      <c r="N85" s="286"/>
      <c r="O85" s="286"/>
    </row>
    <row r="86" spans="3:15" ht="15.75" customHeight="1">
      <c r="C86" s="87">
        <v>42396</v>
      </c>
      <c r="D86" s="31">
        <v>4820.3</v>
      </c>
      <c r="F86" s="73"/>
      <c r="G86" s="280"/>
      <c r="H86" s="280"/>
      <c r="I86" s="131"/>
      <c r="J86" s="287"/>
      <c r="K86" s="287"/>
      <c r="L86" s="287"/>
      <c r="M86" s="287"/>
      <c r="N86" s="286"/>
      <c r="O86" s="286"/>
    </row>
    <row r="87" spans="3:13" ht="15.75" customHeight="1">
      <c r="C87" s="87"/>
      <c r="F87" s="73"/>
      <c r="G87" s="282"/>
      <c r="H87" s="282"/>
      <c r="I87" s="139"/>
      <c r="J87" s="283"/>
      <c r="K87" s="283"/>
      <c r="L87" s="283"/>
      <c r="M87" s="283"/>
    </row>
    <row r="88" spans="2:13" ht="18.75" customHeight="1">
      <c r="B88" s="284" t="s">
        <v>57</v>
      </c>
      <c r="C88" s="285"/>
      <c r="D88" s="148">
        <v>300.92</v>
      </c>
      <c r="E88" s="74"/>
      <c r="F88" s="140"/>
      <c r="G88" s="280"/>
      <c r="H88" s="280"/>
      <c r="I88" s="141"/>
      <c r="J88" s="283"/>
      <c r="K88" s="283"/>
      <c r="L88" s="283"/>
      <c r="M88" s="283"/>
    </row>
    <row r="89" spans="6:12" ht="9.75" customHeight="1">
      <c r="F89" s="73"/>
      <c r="G89" s="280"/>
      <c r="H89" s="280"/>
      <c r="I89" s="73"/>
      <c r="J89" s="74"/>
      <c r="K89" s="74"/>
      <c r="L89" s="74"/>
    </row>
    <row r="90" spans="2:12" ht="22.5" customHeight="1" hidden="1">
      <c r="B90" s="278" t="s">
        <v>60</v>
      </c>
      <c r="C90" s="279"/>
      <c r="D90" s="86">
        <v>0</v>
      </c>
      <c r="E90" s="56" t="s">
        <v>24</v>
      </c>
      <c r="F90" s="73"/>
      <c r="G90" s="280"/>
      <c r="H90" s="280"/>
      <c r="I90" s="73"/>
      <c r="J90" s="74"/>
      <c r="K90" s="74"/>
      <c r="L90" s="74"/>
    </row>
    <row r="91" spans="4:15" ht="15">
      <c r="D91" s="84"/>
      <c r="F91" s="73"/>
      <c r="G91" s="74"/>
      <c r="H91" s="74"/>
      <c r="I91" s="74"/>
      <c r="N91" s="280"/>
      <c r="O91" s="280"/>
    </row>
    <row r="92" spans="4:15" ht="15">
      <c r="D92" s="83"/>
      <c r="I92" s="31"/>
      <c r="N92" s="281"/>
      <c r="O92" s="281"/>
    </row>
    <row r="93" spans="14:15" ht="15">
      <c r="N93" s="280"/>
      <c r="O93" s="280"/>
    </row>
    <row r="97" ht="15">
      <c r="E97" s="4" t="s">
        <v>59</v>
      </c>
    </row>
  </sheetData>
  <sheetProtection/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F4:F5"/>
    <mergeCell ref="G4:G5"/>
    <mergeCell ref="H4:H5"/>
    <mergeCell ref="I4:I5"/>
    <mergeCell ref="J4:J5"/>
    <mergeCell ref="N4:N5"/>
    <mergeCell ref="O4:O5"/>
    <mergeCell ref="P4:P5"/>
    <mergeCell ref="K5:L5"/>
    <mergeCell ref="Q5:R5"/>
    <mergeCell ref="G83:J83"/>
    <mergeCell ref="N84:O84"/>
    <mergeCell ref="G89:H89"/>
    <mergeCell ref="G85:H85"/>
    <mergeCell ref="J85:M85"/>
    <mergeCell ref="N85:O85"/>
    <mergeCell ref="G86:H86"/>
    <mergeCell ref="J86:M86"/>
    <mergeCell ref="N86:O86"/>
    <mergeCell ref="B90:C90"/>
    <mergeCell ref="G90:H90"/>
    <mergeCell ref="N91:O91"/>
    <mergeCell ref="N92:O92"/>
    <mergeCell ref="N93:O93"/>
    <mergeCell ref="G87:H87"/>
    <mergeCell ref="J87:M87"/>
    <mergeCell ref="B88:C88"/>
    <mergeCell ref="G88:H88"/>
    <mergeCell ref="J88:M88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6"/>
  <sheetViews>
    <sheetView zoomScale="75" zoomScaleNormal="75" zoomScalePageLayoutView="0" workbookViewId="0" topLeftCell="B1">
      <pane xSplit="2" ySplit="8" topLeftCell="D53" activePane="bottomRight" state="frozen"/>
      <selection pane="topLeft" activeCell="B1" sqref="B1"/>
      <selection pane="topRight" activeCell="D1" sqref="D1"/>
      <selection pane="bottomLeft" activeCell="B9" sqref="B9"/>
      <selection pane="bottomRight" activeCell="T55" sqref="T55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3.125" style="4" customWidth="1"/>
    <col min="5" max="5" width="14.00390625" style="4" customWidth="1"/>
    <col min="6" max="6" width="11.25390625" style="166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2" width="10.00390625" style="4" customWidth="1"/>
    <col min="13" max="13" width="12.00390625" style="4" hidden="1" customWidth="1"/>
    <col min="14" max="14" width="11.00390625" style="4" hidden="1" customWidth="1"/>
    <col min="15" max="15" width="10.875" style="4" hidden="1" customWidth="1"/>
    <col min="16" max="17" width="11.00390625" style="4" hidden="1" customWidth="1"/>
    <col min="18" max="18" width="11.00390625" style="95" hidden="1" customWidth="1"/>
    <col min="19" max="16384" width="9.125" style="4" customWidth="1"/>
  </cols>
  <sheetData>
    <row r="1" spans="1:18" s="1" customFormat="1" ht="26.25" customHeight="1">
      <c r="A1" s="301" t="s">
        <v>114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301"/>
      <c r="O1" s="301"/>
      <c r="P1" s="301"/>
      <c r="Q1" s="92"/>
      <c r="R1" s="93"/>
    </row>
    <row r="2" spans="2:18" s="1" customFormat="1" ht="15.75" customHeight="1">
      <c r="B2" s="319"/>
      <c r="C2" s="319"/>
      <c r="D2" s="319"/>
      <c r="E2" s="2"/>
      <c r="F2" s="154"/>
      <c r="G2" s="2"/>
      <c r="H2" s="2"/>
      <c r="P2" s="17" t="s">
        <v>24</v>
      </c>
      <c r="Q2" s="17"/>
      <c r="R2" s="94"/>
    </row>
    <row r="3" spans="1:18" s="3" customFormat="1" ht="13.5" customHeight="1">
      <c r="A3" s="303"/>
      <c r="B3" s="305" t="s">
        <v>136</v>
      </c>
      <c r="C3" s="306" t="s">
        <v>0</v>
      </c>
      <c r="D3" s="307" t="s">
        <v>115</v>
      </c>
      <c r="E3" s="34"/>
      <c r="F3" s="308" t="s">
        <v>26</v>
      </c>
      <c r="G3" s="309"/>
      <c r="H3" s="309"/>
      <c r="I3" s="309"/>
      <c r="J3" s="310"/>
      <c r="K3" s="89"/>
      <c r="L3" s="89"/>
      <c r="M3" s="320" t="s">
        <v>107</v>
      </c>
      <c r="N3" s="312" t="s">
        <v>66</v>
      </c>
      <c r="O3" s="312"/>
      <c r="P3" s="312"/>
      <c r="Q3" s="312"/>
      <c r="R3" s="312"/>
    </row>
    <row r="4" spans="1:18" ht="22.5" customHeight="1">
      <c r="A4" s="303"/>
      <c r="B4" s="305"/>
      <c r="C4" s="306"/>
      <c r="D4" s="307"/>
      <c r="E4" s="313" t="s">
        <v>104</v>
      </c>
      <c r="F4" s="323" t="s">
        <v>34</v>
      </c>
      <c r="G4" s="288" t="s">
        <v>109</v>
      </c>
      <c r="H4" s="297" t="s">
        <v>110</v>
      </c>
      <c r="I4" s="288" t="s">
        <v>105</v>
      </c>
      <c r="J4" s="297" t="s">
        <v>106</v>
      </c>
      <c r="K4" s="91" t="s">
        <v>65</v>
      </c>
      <c r="L4" s="96" t="s">
        <v>64</v>
      </c>
      <c r="M4" s="297"/>
      <c r="N4" s="321" t="s">
        <v>103</v>
      </c>
      <c r="O4" s="288" t="s">
        <v>50</v>
      </c>
      <c r="P4" s="290" t="s">
        <v>49</v>
      </c>
      <c r="Q4" s="97" t="s">
        <v>65</v>
      </c>
      <c r="R4" s="98" t="s">
        <v>64</v>
      </c>
    </row>
    <row r="5" spans="1:18" ht="76.5" customHeight="1">
      <c r="A5" s="304"/>
      <c r="B5" s="305"/>
      <c r="C5" s="306"/>
      <c r="D5" s="307"/>
      <c r="E5" s="314"/>
      <c r="F5" s="324"/>
      <c r="G5" s="289"/>
      <c r="H5" s="298"/>
      <c r="I5" s="289"/>
      <c r="J5" s="298"/>
      <c r="K5" s="291" t="s">
        <v>108</v>
      </c>
      <c r="L5" s="293"/>
      <c r="M5" s="298"/>
      <c r="N5" s="322"/>
      <c r="O5" s="289"/>
      <c r="P5" s="290"/>
      <c r="Q5" s="291" t="s">
        <v>126</v>
      </c>
      <c r="R5" s="293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55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0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55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99"/>
    </row>
    <row r="8" spans="1:18" s="6" customFormat="1" ht="17.25">
      <c r="A8" s="7"/>
      <c r="B8" s="16" t="s">
        <v>9</v>
      </c>
      <c r="C8" s="75" t="s">
        <v>10</v>
      </c>
      <c r="D8" s="15">
        <f>D9+D15+D18+D19+D20+D32+D17</f>
        <v>157000.94999999998</v>
      </c>
      <c r="E8" s="15">
        <f>E9+E15+E18+E19+E20+E32+E17</f>
        <v>52577.22</v>
      </c>
      <c r="F8" s="156">
        <f>F9+F15+F18+F19+F20+F32+F17</f>
        <v>60580.63</v>
      </c>
      <c r="G8" s="15">
        <f aca="true" t="shared" si="0" ref="G8:G15">F8-E8</f>
        <v>8003.409999999996</v>
      </c>
      <c r="H8" s="38">
        <f>F8/E8*100</f>
        <v>115.22220079342344</v>
      </c>
      <c r="I8" s="28">
        <f>F8-D8</f>
        <v>-96420.31999999998</v>
      </c>
      <c r="J8" s="28">
        <f>F8/D8*100</f>
        <v>38.58615505192803</v>
      </c>
      <c r="K8" s="15">
        <f>K9+K15+K18+K19+K20+K32</f>
        <v>22866.319999999996</v>
      </c>
      <c r="L8" s="15"/>
      <c r="M8" s="15">
        <f>M9+M15+M18+M19+M20+M32+M17</f>
        <v>52577.22</v>
      </c>
      <c r="N8" s="15">
        <f>N9+N15+N18+N19+N20+N32+N17</f>
        <v>60580.63</v>
      </c>
      <c r="O8" s="15">
        <f>N8-M8</f>
        <v>8003.409999999996</v>
      </c>
      <c r="P8" s="15">
        <f>N8/M8*100</f>
        <v>115.22220079342344</v>
      </c>
      <c r="Q8" s="15" t="e">
        <f>#N/A</f>
        <v>#N/A</v>
      </c>
      <c r="R8" s="15" t="e">
        <f>#N/A</f>
        <v>#N/A</v>
      </c>
    </row>
    <row r="9" spans="1:18" s="6" customFormat="1" ht="15">
      <c r="A9" s="8"/>
      <c r="B9" s="13" t="s">
        <v>82</v>
      </c>
      <c r="C9" s="48">
        <v>11010000</v>
      </c>
      <c r="D9" s="33">
        <v>80394.55</v>
      </c>
      <c r="E9" s="33">
        <v>27341.52</v>
      </c>
      <c r="F9" s="157">
        <v>30213.27</v>
      </c>
      <c r="G9" s="36">
        <f t="shared" si="0"/>
        <v>2871.75</v>
      </c>
      <c r="H9" s="32">
        <f>F9/E9*100</f>
        <v>110.5032565855885</v>
      </c>
      <c r="I9" s="42">
        <f>F9-D9</f>
        <v>-50181.28</v>
      </c>
      <c r="J9" s="42">
        <f>F9/D9*100</f>
        <v>37.58124151450565</v>
      </c>
      <c r="K9" s="106">
        <f>F9-23209.38</f>
        <v>7003.889999999999</v>
      </c>
      <c r="L9" s="106">
        <f>F9/23209.38*100</f>
        <v>130.17698016922466</v>
      </c>
      <c r="M9" s="32">
        <f>E9</f>
        <v>27341.52</v>
      </c>
      <c r="N9" s="32">
        <f>F9</f>
        <v>30213.27</v>
      </c>
      <c r="O9" s="40">
        <f>N9-M9</f>
        <v>2871.75</v>
      </c>
      <c r="P9" s="42">
        <f>N9/M9*100</f>
        <v>110.5032565855885</v>
      </c>
      <c r="Q9" s="106"/>
      <c r="R9" s="107"/>
    </row>
    <row r="10" spans="1:18" s="6" customFormat="1" ht="15">
      <c r="A10" s="8"/>
      <c r="B10" s="136" t="s">
        <v>93</v>
      </c>
      <c r="C10" s="108">
        <v>11010100</v>
      </c>
      <c r="D10" s="109">
        <v>72484.55</v>
      </c>
      <c r="E10" s="109">
        <v>24361.52</v>
      </c>
      <c r="F10" s="158">
        <v>26883.84</v>
      </c>
      <c r="G10" s="109">
        <f t="shared" si="0"/>
        <v>2522.3199999999997</v>
      </c>
      <c r="H10" s="32">
        <f aca="true" t="shared" si="1" ref="H10:H32">F10/E10*100</f>
        <v>110.3537053517186</v>
      </c>
      <c r="I10" s="42">
        <f aca="true" t="shared" si="2" ref="I10:I32">F10-D10</f>
        <v>-45600.71000000001</v>
      </c>
      <c r="J10" s="42">
        <f aca="true" t="shared" si="3" ref="J10:J32">F10/D10*100</f>
        <v>37.08906242778633</v>
      </c>
      <c r="K10" s="112">
        <f>F10-25744.25/75*60</f>
        <v>6288.439999999999</v>
      </c>
      <c r="L10" s="112">
        <f>F10/(25744.25/75*60)*100</f>
        <v>130.53322586597008</v>
      </c>
      <c r="M10" s="111">
        <f aca="true" t="shared" si="4" ref="M10:M15">E10</f>
        <v>24361.52</v>
      </c>
      <c r="N10" s="111">
        <f aca="true" t="shared" si="5" ref="N10:N32">F10</f>
        <v>26883.84</v>
      </c>
      <c r="O10" s="40">
        <f aca="true" t="shared" si="6" ref="O10:O32">N10-M10</f>
        <v>2522.3199999999997</v>
      </c>
      <c r="P10" s="42">
        <f aca="true" t="shared" si="7" ref="P10:P32">N10/M10*100</f>
        <v>110.3537053517186</v>
      </c>
      <c r="Q10" s="42"/>
      <c r="R10" s="100"/>
    </row>
    <row r="11" spans="1:18" s="6" customFormat="1" ht="15">
      <c r="A11" s="8"/>
      <c r="B11" s="136" t="s">
        <v>89</v>
      </c>
      <c r="C11" s="108">
        <v>11010200</v>
      </c>
      <c r="D11" s="109">
        <v>4200</v>
      </c>
      <c r="E11" s="109">
        <v>1500</v>
      </c>
      <c r="F11" s="158">
        <v>2684.94</v>
      </c>
      <c r="G11" s="109">
        <f t="shared" si="0"/>
        <v>1184.94</v>
      </c>
      <c r="H11" s="32">
        <f t="shared" si="1"/>
        <v>178.996</v>
      </c>
      <c r="I11" s="42">
        <f t="shared" si="2"/>
        <v>-1515.06</v>
      </c>
      <c r="J11" s="42">
        <f t="shared" si="3"/>
        <v>63.92714285714286</v>
      </c>
      <c r="K11" s="112">
        <f>F11-2368.9/75*60</f>
        <v>789.8199999999999</v>
      </c>
      <c r="L11" s="112">
        <f>F11/(2368.9/75*60)*100</f>
        <v>141.67651652665793</v>
      </c>
      <c r="M11" s="111">
        <f t="shared" si="4"/>
        <v>1500</v>
      </c>
      <c r="N11" s="111">
        <f t="shared" si="5"/>
        <v>2684.94</v>
      </c>
      <c r="O11" s="40">
        <f t="shared" si="6"/>
        <v>1184.94</v>
      </c>
      <c r="P11" s="42">
        <f t="shared" si="7"/>
        <v>178.996</v>
      </c>
      <c r="Q11" s="42"/>
      <c r="R11" s="100"/>
    </row>
    <row r="12" spans="1:18" s="6" customFormat="1" ht="15">
      <c r="A12" s="8"/>
      <c r="B12" s="136" t="s">
        <v>92</v>
      </c>
      <c r="C12" s="108">
        <v>11010400</v>
      </c>
      <c r="D12" s="109">
        <v>1220</v>
      </c>
      <c r="E12" s="109">
        <v>650</v>
      </c>
      <c r="F12" s="158">
        <v>433.61</v>
      </c>
      <c r="G12" s="109">
        <f t="shared" si="0"/>
        <v>-216.39</v>
      </c>
      <c r="H12" s="32">
        <f t="shared" si="1"/>
        <v>66.70923076923077</v>
      </c>
      <c r="I12" s="42">
        <f t="shared" si="2"/>
        <v>-786.39</v>
      </c>
      <c r="J12" s="42">
        <f t="shared" si="3"/>
        <v>35.541803278688526</v>
      </c>
      <c r="K12" s="112">
        <f>F12-640.05/75*60</f>
        <v>-78.42999999999995</v>
      </c>
      <c r="L12" s="112">
        <f>F12/(640.05/75*60)*100</f>
        <v>84.68283727833764</v>
      </c>
      <c r="M12" s="111">
        <f t="shared" si="4"/>
        <v>650</v>
      </c>
      <c r="N12" s="111">
        <f t="shared" si="5"/>
        <v>433.61</v>
      </c>
      <c r="O12" s="40">
        <f t="shared" si="6"/>
        <v>-216.39</v>
      </c>
      <c r="P12" s="42">
        <f t="shared" si="7"/>
        <v>66.70923076923077</v>
      </c>
      <c r="Q12" s="42"/>
      <c r="R12" s="100"/>
    </row>
    <row r="13" spans="1:18" s="6" customFormat="1" ht="15">
      <c r="A13" s="8"/>
      <c r="B13" s="136" t="s">
        <v>90</v>
      </c>
      <c r="C13" s="108">
        <v>11010500</v>
      </c>
      <c r="D13" s="109">
        <v>690</v>
      </c>
      <c r="E13" s="109">
        <v>230</v>
      </c>
      <c r="F13" s="158">
        <v>209.84</v>
      </c>
      <c r="G13" s="109">
        <f t="shared" si="0"/>
        <v>-20.159999999999997</v>
      </c>
      <c r="H13" s="32">
        <f t="shared" si="1"/>
        <v>91.23478260869565</v>
      </c>
      <c r="I13" s="42">
        <f t="shared" si="2"/>
        <v>-480.15999999999997</v>
      </c>
      <c r="J13" s="42">
        <f t="shared" si="3"/>
        <v>30.411594202898552</v>
      </c>
      <c r="K13" s="112">
        <f>F13-227.71/75*60</f>
        <v>27.671999999999997</v>
      </c>
      <c r="L13" s="112">
        <f>F13/(227.71/75*60)*100</f>
        <v>115.19037372096086</v>
      </c>
      <c r="M13" s="111">
        <f t="shared" si="4"/>
        <v>230</v>
      </c>
      <c r="N13" s="111">
        <f t="shared" si="5"/>
        <v>209.84</v>
      </c>
      <c r="O13" s="40">
        <f t="shared" si="6"/>
        <v>-20.159999999999997</v>
      </c>
      <c r="P13" s="42">
        <f t="shared" si="7"/>
        <v>91.23478260869565</v>
      </c>
      <c r="Q13" s="42"/>
      <c r="R13" s="100"/>
    </row>
    <row r="14" spans="1:18" s="6" customFormat="1" ht="15">
      <c r="A14" s="8"/>
      <c r="B14" s="136" t="s">
        <v>91</v>
      </c>
      <c r="C14" s="108">
        <v>11010900</v>
      </c>
      <c r="D14" s="109">
        <v>1800</v>
      </c>
      <c r="E14" s="109">
        <v>600</v>
      </c>
      <c r="F14" s="158">
        <v>1.04</v>
      </c>
      <c r="G14" s="109">
        <f t="shared" si="0"/>
        <v>-598.96</v>
      </c>
      <c r="H14" s="32">
        <f t="shared" si="1"/>
        <v>0.17333333333333334</v>
      </c>
      <c r="I14" s="42">
        <f t="shared" si="2"/>
        <v>-1798.96</v>
      </c>
      <c r="J14" s="42">
        <f t="shared" si="3"/>
        <v>0.057777777777777775</v>
      </c>
      <c r="K14" s="112">
        <f>F14-30.81/75*60</f>
        <v>-23.608</v>
      </c>
      <c r="L14" s="112">
        <f>F14/(30.81/75*60)*100</f>
        <v>4.219409282700423</v>
      </c>
      <c r="M14" s="111">
        <f t="shared" si="4"/>
        <v>600</v>
      </c>
      <c r="N14" s="111">
        <f t="shared" si="5"/>
        <v>1.04</v>
      </c>
      <c r="O14" s="40">
        <f t="shared" si="6"/>
        <v>-598.96</v>
      </c>
      <c r="P14" s="42">
        <f t="shared" si="7"/>
        <v>0.17333333333333334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33">
        <v>100</v>
      </c>
      <c r="E15" s="33">
        <v>0</v>
      </c>
      <c r="F15" s="157">
        <v>0</v>
      </c>
      <c r="G15" s="36">
        <f t="shared" si="0"/>
        <v>0</v>
      </c>
      <c r="H15" s="32"/>
      <c r="I15" s="42">
        <f t="shared" si="2"/>
        <v>-100</v>
      </c>
      <c r="J15" s="42">
        <f t="shared" si="3"/>
        <v>0</v>
      </c>
      <c r="K15" s="43">
        <f>F15-(-566.34)</f>
        <v>566.34</v>
      </c>
      <c r="L15" s="43">
        <f>F15/(-566.34)*100</f>
        <v>0</v>
      </c>
      <c r="M15" s="32">
        <f t="shared" si="4"/>
        <v>0</v>
      </c>
      <c r="N15" s="32">
        <f t="shared" si="5"/>
        <v>0</v>
      </c>
      <c r="O15" s="40">
        <f t="shared" si="6"/>
        <v>0</v>
      </c>
      <c r="P15" s="42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58">
        <v>0</v>
      </c>
      <c r="G16" s="36">
        <f aca="true" t="shared" si="8" ref="G16:G21">F16-E16</f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32">
        <f aca="true" t="shared" si="9" ref="M16:M32">E16</f>
        <v>0</v>
      </c>
      <c r="N16" s="32">
        <f t="shared" si="5"/>
        <v>0</v>
      </c>
      <c r="O16" s="40">
        <f t="shared" si="6"/>
        <v>0</v>
      </c>
      <c r="P16" s="42" t="e">
        <f t="shared" si="7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36">
        <v>0</v>
      </c>
      <c r="E17" s="36">
        <v>0</v>
      </c>
      <c r="F17" s="159">
        <v>0</v>
      </c>
      <c r="G17" s="36">
        <f t="shared" si="8"/>
        <v>0</v>
      </c>
      <c r="H17" s="32"/>
      <c r="I17" s="42">
        <f t="shared" si="2"/>
        <v>0</v>
      </c>
      <c r="J17" s="42"/>
      <c r="K17" s="112">
        <f>F17-0</f>
        <v>0</v>
      </c>
      <c r="L17" s="112"/>
      <c r="M17" s="32">
        <f t="shared" si="9"/>
        <v>0</v>
      </c>
      <c r="N17" s="32">
        <f t="shared" si="5"/>
        <v>0</v>
      </c>
      <c r="O17" s="40">
        <f t="shared" si="6"/>
        <v>0</v>
      </c>
      <c r="P17" s="42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33">
        <v>0</v>
      </c>
      <c r="E18" s="33">
        <v>0</v>
      </c>
      <c r="F18" s="157">
        <v>0</v>
      </c>
      <c r="G18" s="36">
        <f t="shared" si="8"/>
        <v>0</v>
      </c>
      <c r="H18" s="32"/>
      <c r="I18" s="42">
        <f t="shared" si="2"/>
        <v>0</v>
      </c>
      <c r="J18" s="42"/>
      <c r="K18" s="43">
        <f>F18-0.12</f>
        <v>-0.12</v>
      </c>
      <c r="L18" s="112">
        <f>F18/0.12*100</f>
        <v>0</v>
      </c>
      <c r="M18" s="32">
        <f t="shared" si="9"/>
        <v>0</v>
      </c>
      <c r="N18" s="32">
        <f t="shared" si="5"/>
        <v>0</v>
      </c>
      <c r="O18" s="40">
        <f t="shared" si="6"/>
        <v>0</v>
      </c>
      <c r="P18" s="42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36">
        <v>21100</v>
      </c>
      <c r="E19" s="36">
        <v>7000</v>
      </c>
      <c r="F19" s="159">
        <v>5560.4</v>
      </c>
      <c r="G19" s="36">
        <f t="shared" si="8"/>
        <v>-1439.6000000000004</v>
      </c>
      <c r="H19" s="32">
        <f t="shared" si="1"/>
        <v>79.4342857142857</v>
      </c>
      <c r="I19" s="42">
        <f t="shared" si="2"/>
        <v>-15539.6</v>
      </c>
      <c r="J19" s="42">
        <f t="shared" si="3"/>
        <v>26.35260663507109</v>
      </c>
      <c r="K19" s="133">
        <f>F19-0</f>
        <v>5560.4</v>
      </c>
      <c r="L19" s="134"/>
      <c r="M19" s="32">
        <f t="shared" si="9"/>
        <v>7000</v>
      </c>
      <c r="N19" s="32">
        <f t="shared" si="5"/>
        <v>5560.4</v>
      </c>
      <c r="O19" s="40">
        <f t="shared" si="6"/>
        <v>-1439.6000000000004</v>
      </c>
      <c r="P19" s="42">
        <f t="shared" si="7"/>
        <v>79.4342857142857</v>
      </c>
      <c r="Q19" s="113"/>
      <c r="R19" s="114"/>
    </row>
    <row r="20" spans="1:18" s="6" customFormat="1" ht="15">
      <c r="A20" s="8"/>
      <c r="B20" s="130" t="s">
        <v>76</v>
      </c>
      <c r="C20" s="48">
        <v>18000000</v>
      </c>
      <c r="D20" s="36">
        <f>D21+D25+D27</f>
        <v>53373.5</v>
      </c>
      <c r="E20" s="36">
        <f>E21+E25+E27</f>
        <v>18234.5</v>
      </c>
      <c r="F20" s="160">
        <f>F21+F25+F27+F26</f>
        <v>24797.06</v>
      </c>
      <c r="G20" s="36">
        <f t="shared" si="8"/>
        <v>6562.560000000001</v>
      </c>
      <c r="H20" s="32">
        <f t="shared" si="1"/>
        <v>135.98979955578713</v>
      </c>
      <c r="I20" s="42">
        <f t="shared" si="2"/>
        <v>-28576.44</v>
      </c>
      <c r="J20" s="42">
        <f t="shared" si="3"/>
        <v>46.45949769080161</v>
      </c>
      <c r="K20" s="132">
        <f>K21+K25+K26+K27</f>
        <v>9734.8</v>
      </c>
      <c r="L20" s="110">
        <f>F20/15062.3*100</f>
        <v>164.62997019047558</v>
      </c>
      <c r="M20" s="32">
        <f t="shared" si="9"/>
        <v>18234.5</v>
      </c>
      <c r="N20" s="32">
        <f t="shared" si="5"/>
        <v>24797.06</v>
      </c>
      <c r="O20" s="40">
        <f t="shared" si="6"/>
        <v>6562.560000000001</v>
      </c>
      <c r="P20" s="42">
        <f t="shared" si="7"/>
        <v>135.98979955578713</v>
      </c>
      <c r="Q20" s="113"/>
      <c r="R20" s="114"/>
    </row>
    <row r="21" spans="1:18" s="6" customFormat="1" ht="15">
      <c r="A21" s="8"/>
      <c r="B21" s="49" t="s">
        <v>84</v>
      </c>
      <c r="C21" s="127">
        <v>18010000</v>
      </c>
      <c r="D21" s="36">
        <f>D22+D23+D24</f>
        <v>32530</v>
      </c>
      <c r="E21" s="36">
        <f>E22+E23+E24</f>
        <v>9720</v>
      </c>
      <c r="F21" s="160">
        <f>F22+F23+F24</f>
        <v>11899.3</v>
      </c>
      <c r="G21" s="36">
        <f t="shared" si="8"/>
        <v>2179.2999999999993</v>
      </c>
      <c r="H21" s="32">
        <f t="shared" si="1"/>
        <v>122.42078189300412</v>
      </c>
      <c r="I21" s="42">
        <f t="shared" si="2"/>
        <v>-20630.7</v>
      </c>
      <c r="J21" s="42">
        <f t="shared" si="3"/>
        <v>36.579465109130034</v>
      </c>
      <c r="K21" s="132">
        <f>K22+K23+K24</f>
        <v>5316.619999999999</v>
      </c>
      <c r="L21" s="110">
        <f>F21/6582.7*100</f>
        <v>180.76625093046925</v>
      </c>
      <c r="M21" s="32">
        <f t="shared" si="9"/>
        <v>9720</v>
      </c>
      <c r="N21" s="32">
        <f t="shared" si="5"/>
        <v>11899.3</v>
      </c>
      <c r="O21" s="40">
        <f t="shared" si="6"/>
        <v>2179.2999999999993</v>
      </c>
      <c r="P21" s="42">
        <f t="shared" si="7"/>
        <v>122.42078189300412</v>
      </c>
      <c r="Q21" s="113"/>
      <c r="R21" s="114"/>
    </row>
    <row r="22" spans="1:18" s="6" customFormat="1" ht="15">
      <c r="A22" s="8"/>
      <c r="B22" s="55" t="s">
        <v>77</v>
      </c>
      <c r="C22" s="138"/>
      <c r="D22" s="109">
        <f>320+378+2002+600</f>
        <v>3300</v>
      </c>
      <c r="E22" s="109">
        <f>45+4+1+200</f>
        <v>250</v>
      </c>
      <c r="F22" s="158">
        <v>3049.6</v>
      </c>
      <c r="G22" s="109">
        <f>F22-E22</f>
        <v>2799.6</v>
      </c>
      <c r="H22" s="111">
        <f t="shared" si="1"/>
        <v>1219.84</v>
      </c>
      <c r="I22" s="110">
        <f t="shared" si="2"/>
        <v>-250.4000000000001</v>
      </c>
      <c r="J22" s="110">
        <f t="shared" si="3"/>
        <v>92.4121212121212</v>
      </c>
      <c r="K22" s="110">
        <f>F22-84.67</f>
        <v>2964.93</v>
      </c>
      <c r="L22" s="110">
        <f>F22/84.67*100</f>
        <v>3601.747962678635</v>
      </c>
      <c r="M22" s="111">
        <f t="shared" si="9"/>
        <v>250</v>
      </c>
      <c r="N22" s="111">
        <f t="shared" si="5"/>
        <v>3049.6</v>
      </c>
      <c r="O22" s="112">
        <f t="shared" si="6"/>
        <v>2799.6</v>
      </c>
      <c r="P22" s="110">
        <f t="shared" si="7"/>
        <v>1219.84</v>
      </c>
      <c r="Q22" s="113"/>
      <c r="R22" s="114"/>
    </row>
    <row r="23" spans="1:18" s="6" customFormat="1" ht="15">
      <c r="A23" s="8"/>
      <c r="B23" s="55" t="s">
        <v>78</v>
      </c>
      <c r="C23" s="138"/>
      <c r="D23" s="109">
        <f>30+30</f>
        <v>60</v>
      </c>
      <c r="E23" s="109">
        <f>10+10</f>
        <v>20</v>
      </c>
      <c r="F23" s="158">
        <v>156.87</v>
      </c>
      <c r="G23" s="109">
        <f>F23-E23</f>
        <v>136.87</v>
      </c>
      <c r="H23" s="111">
        <f t="shared" si="1"/>
        <v>784.35</v>
      </c>
      <c r="I23" s="110">
        <f t="shared" si="2"/>
        <v>96.87</v>
      </c>
      <c r="J23" s="110">
        <f t="shared" si="3"/>
        <v>261.45</v>
      </c>
      <c r="K23" s="110">
        <f>F23-0</f>
        <v>156.87</v>
      </c>
      <c r="L23" s="110"/>
      <c r="M23" s="111">
        <f t="shared" si="9"/>
        <v>20</v>
      </c>
      <c r="N23" s="111">
        <f t="shared" si="5"/>
        <v>156.87</v>
      </c>
      <c r="O23" s="112">
        <f t="shared" si="6"/>
        <v>136.87</v>
      </c>
      <c r="P23" s="110">
        <f t="shared" si="7"/>
        <v>784.35</v>
      </c>
      <c r="Q23" s="113"/>
      <c r="R23" s="114"/>
    </row>
    <row r="24" spans="1:18" s="6" customFormat="1" ht="15">
      <c r="A24" s="8"/>
      <c r="B24" s="55" t="s">
        <v>79</v>
      </c>
      <c r="C24" s="138"/>
      <c r="D24" s="109">
        <f>7700+17200+170+4100</f>
        <v>29170</v>
      </c>
      <c r="E24" s="109">
        <f>2500+5600+50+1300</f>
        <v>9450</v>
      </c>
      <c r="F24" s="158">
        <v>8692.83</v>
      </c>
      <c r="G24" s="109">
        <f>F24-E24</f>
        <v>-757.1700000000001</v>
      </c>
      <c r="H24" s="111">
        <f t="shared" si="1"/>
        <v>91.98761904761905</v>
      </c>
      <c r="I24" s="110">
        <f t="shared" si="2"/>
        <v>-20477.17</v>
      </c>
      <c r="J24" s="110">
        <f t="shared" si="3"/>
        <v>29.800582790538222</v>
      </c>
      <c r="K24" s="142">
        <f>F24-6498.01</f>
        <v>2194.8199999999997</v>
      </c>
      <c r="L24" s="142">
        <f>F24/6498.01*100</f>
        <v>133.77680243643823</v>
      </c>
      <c r="M24" s="111">
        <f t="shared" si="9"/>
        <v>9450</v>
      </c>
      <c r="N24" s="111">
        <f t="shared" si="5"/>
        <v>8692.83</v>
      </c>
      <c r="O24" s="112">
        <f t="shared" si="6"/>
        <v>-757.1700000000001</v>
      </c>
      <c r="P24" s="110">
        <f t="shared" si="7"/>
        <v>91.98761904761905</v>
      </c>
      <c r="Q24" s="113"/>
      <c r="R24" s="114"/>
    </row>
    <row r="25" spans="1:18" s="6" customFormat="1" ht="15">
      <c r="A25" s="8"/>
      <c r="B25" s="49" t="s">
        <v>85</v>
      </c>
      <c r="C25" s="127">
        <v>18030000</v>
      </c>
      <c r="D25" s="36">
        <v>36</v>
      </c>
      <c r="E25" s="36">
        <v>12</v>
      </c>
      <c r="F25" s="159">
        <v>2.61</v>
      </c>
      <c r="G25" s="36">
        <f>F25-E25</f>
        <v>-9.39</v>
      </c>
      <c r="H25" s="32">
        <f t="shared" si="1"/>
        <v>21.75</v>
      </c>
      <c r="I25" s="42">
        <f t="shared" si="2"/>
        <v>-33.39</v>
      </c>
      <c r="J25" s="42">
        <f t="shared" si="3"/>
        <v>7.249999999999999</v>
      </c>
      <c r="K25" s="132">
        <f>F25-2.4</f>
        <v>0.20999999999999996</v>
      </c>
      <c r="L25" s="132">
        <f>F25/2.4*100</f>
        <v>108.74999999999999</v>
      </c>
      <c r="M25" s="32">
        <f t="shared" si="9"/>
        <v>12</v>
      </c>
      <c r="N25" s="32">
        <f t="shared" si="5"/>
        <v>2.61</v>
      </c>
      <c r="O25" s="40">
        <f t="shared" si="6"/>
        <v>-9.39</v>
      </c>
      <c r="P25" s="42">
        <f t="shared" si="7"/>
        <v>21.75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36"/>
      <c r="E26" s="36"/>
      <c r="F26" s="159">
        <v>-0.35</v>
      </c>
      <c r="G26" s="36">
        <f aca="true" t="shared" si="10" ref="G26:G32">F26-E26</f>
        <v>-0.35</v>
      </c>
      <c r="H26" s="32"/>
      <c r="I26" s="42">
        <f t="shared" si="2"/>
        <v>-0.35</v>
      </c>
      <c r="J26" s="42"/>
      <c r="K26" s="132">
        <f>F26-142.7</f>
        <v>-143.04999999999998</v>
      </c>
      <c r="L26" s="132">
        <f>F26/142.7*100</f>
        <v>-0.2452697967764541</v>
      </c>
      <c r="M26" s="32">
        <f t="shared" si="9"/>
        <v>0</v>
      </c>
      <c r="N26" s="32">
        <f t="shared" si="5"/>
        <v>-0.35</v>
      </c>
      <c r="O26" s="40">
        <f t="shared" si="6"/>
        <v>-0.35</v>
      </c>
      <c r="P26" s="42"/>
      <c r="Q26" s="113"/>
      <c r="R26" s="114"/>
    </row>
    <row r="27" spans="1:18" s="6" customFormat="1" ht="15">
      <c r="A27" s="8"/>
      <c r="B27" s="49" t="s">
        <v>87</v>
      </c>
      <c r="C27" s="127">
        <v>18050000</v>
      </c>
      <c r="D27" s="36">
        <v>20807.5</v>
      </c>
      <c r="E27" s="36">
        <v>8502.5</v>
      </c>
      <c r="F27" s="159">
        <v>12895.5</v>
      </c>
      <c r="G27" s="36">
        <f t="shared" si="10"/>
        <v>4393</v>
      </c>
      <c r="H27" s="32">
        <f t="shared" si="1"/>
        <v>151.66715671861218</v>
      </c>
      <c r="I27" s="42">
        <f t="shared" si="2"/>
        <v>-7912</v>
      </c>
      <c r="J27" s="42">
        <f t="shared" si="3"/>
        <v>61.975249309143344</v>
      </c>
      <c r="K27" s="106">
        <f>F27-8334.48</f>
        <v>4561.02</v>
      </c>
      <c r="L27" s="106">
        <f>F27/8334.48*100</f>
        <v>154.72470987992054</v>
      </c>
      <c r="M27" s="32">
        <f t="shared" si="9"/>
        <v>8502.5</v>
      </c>
      <c r="N27" s="32">
        <f t="shared" si="5"/>
        <v>12895.5</v>
      </c>
      <c r="O27" s="40">
        <f t="shared" si="6"/>
        <v>4393</v>
      </c>
      <c r="P27" s="42">
        <f t="shared" si="7"/>
        <v>151.66715671861218</v>
      </c>
      <c r="Q27" s="113"/>
      <c r="R27" s="114"/>
    </row>
    <row r="28" spans="1:18" s="6" customFormat="1" ht="15">
      <c r="A28" s="8"/>
      <c r="B28" s="55" t="s">
        <v>94</v>
      </c>
      <c r="C28" s="108">
        <v>18050200</v>
      </c>
      <c r="D28" s="109">
        <v>0</v>
      </c>
      <c r="E28" s="109">
        <v>0</v>
      </c>
      <c r="F28" s="158">
        <v>0</v>
      </c>
      <c r="G28" s="36">
        <f t="shared" si="10"/>
        <v>0</v>
      </c>
      <c r="H28" s="32"/>
      <c r="I28" s="42">
        <f t="shared" si="2"/>
        <v>0</v>
      </c>
      <c r="J28" s="42"/>
      <c r="K28" s="142">
        <f>F28-0</f>
        <v>0</v>
      </c>
      <c r="L28" s="142"/>
      <c r="M28" s="32">
        <f t="shared" si="9"/>
        <v>0</v>
      </c>
      <c r="N28" s="32">
        <f t="shared" si="5"/>
        <v>0</v>
      </c>
      <c r="O28" s="40">
        <f t="shared" si="6"/>
        <v>0</v>
      </c>
      <c r="P28" s="42" t="e">
        <f t="shared" si="7"/>
        <v>#DIV/0!</v>
      </c>
      <c r="Q28" s="113"/>
      <c r="R28" s="114"/>
    </row>
    <row r="29" spans="1:18" s="6" customFormat="1" ht="15">
      <c r="A29" s="8"/>
      <c r="B29" s="55" t="s">
        <v>95</v>
      </c>
      <c r="C29" s="108">
        <v>18050300</v>
      </c>
      <c r="D29" s="109">
        <v>5800</v>
      </c>
      <c r="E29" s="109">
        <v>2500</v>
      </c>
      <c r="F29" s="158">
        <v>2155.97</v>
      </c>
      <c r="G29" s="36">
        <f t="shared" si="10"/>
        <v>-344.0300000000002</v>
      </c>
      <c r="H29" s="32">
        <f t="shared" si="1"/>
        <v>86.2388</v>
      </c>
      <c r="I29" s="42">
        <f t="shared" si="2"/>
        <v>-3644.03</v>
      </c>
      <c r="J29" s="42">
        <f t="shared" si="3"/>
        <v>37.17189655172413</v>
      </c>
      <c r="K29" s="142">
        <f>F29-1847.69</f>
        <v>308.27999999999975</v>
      </c>
      <c r="L29" s="142">
        <f>F29/1847.69*100</f>
        <v>116.68461700826435</v>
      </c>
      <c r="M29" s="32">
        <f t="shared" si="9"/>
        <v>2500</v>
      </c>
      <c r="N29" s="32">
        <f t="shared" si="5"/>
        <v>2155.97</v>
      </c>
      <c r="O29" s="40">
        <f t="shared" si="6"/>
        <v>-344.0300000000002</v>
      </c>
      <c r="P29" s="42">
        <f t="shared" si="7"/>
        <v>86.2388</v>
      </c>
      <c r="Q29" s="113"/>
      <c r="R29" s="114"/>
    </row>
    <row r="30" spans="1:18" s="6" customFormat="1" ht="15">
      <c r="A30" s="8"/>
      <c r="B30" s="55" t="s">
        <v>96</v>
      </c>
      <c r="C30" s="108">
        <v>18050400</v>
      </c>
      <c r="D30" s="109">
        <v>15000</v>
      </c>
      <c r="E30" s="109">
        <v>6000</v>
      </c>
      <c r="F30" s="158">
        <v>10736.34</v>
      </c>
      <c r="G30" s="36">
        <f t="shared" si="10"/>
        <v>4736.34</v>
      </c>
      <c r="H30" s="32">
        <f t="shared" si="1"/>
        <v>178.939</v>
      </c>
      <c r="I30" s="42">
        <f t="shared" si="2"/>
        <v>-4263.66</v>
      </c>
      <c r="J30" s="42">
        <f t="shared" si="3"/>
        <v>71.57560000000001</v>
      </c>
      <c r="K30" s="142">
        <f>F30-6485.79</f>
        <v>4250.55</v>
      </c>
      <c r="L30" s="142">
        <f>F30/6485.79*100</f>
        <v>165.53634946552387</v>
      </c>
      <c r="M30" s="32">
        <f t="shared" si="9"/>
        <v>6000</v>
      </c>
      <c r="N30" s="32">
        <f t="shared" si="5"/>
        <v>10736.34</v>
      </c>
      <c r="O30" s="40">
        <f t="shared" si="6"/>
        <v>4736.34</v>
      </c>
      <c r="P30" s="42">
        <f t="shared" si="7"/>
        <v>178.939</v>
      </c>
      <c r="Q30" s="113"/>
      <c r="R30" s="114"/>
    </row>
    <row r="31" spans="1:18" s="6" customFormat="1" ht="15">
      <c r="A31" s="8"/>
      <c r="B31" s="55" t="s">
        <v>97</v>
      </c>
      <c r="C31" s="108">
        <v>18050500</v>
      </c>
      <c r="D31" s="109">
        <v>7.5</v>
      </c>
      <c r="E31" s="109">
        <v>2.5</v>
      </c>
      <c r="F31" s="158">
        <v>3.19</v>
      </c>
      <c r="G31" s="36">
        <f t="shared" si="10"/>
        <v>0.69</v>
      </c>
      <c r="H31" s="32">
        <f t="shared" si="1"/>
        <v>127.60000000000001</v>
      </c>
      <c r="I31" s="42">
        <f t="shared" si="2"/>
        <v>-4.3100000000000005</v>
      </c>
      <c r="J31" s="42">
        <f t="shared" si="3"/>
        <v>42.53333333333333</v>
      </c>
      <c r="K31" s="142">
        <f>F31-0</f>
        <v>3.19</v>
      </c>
      <c r="L31" s="142"/>
      <c r="M31" s="32">
        <f t="shared" si="9"/>
        <v>2.5</v>
      </c>
      <c r="N31" s="32">
        <f t="shared" si="5"/>
        <v>3.19</v>
      </c>
      <c r="O31" s="40">
        <f t="shared" si="6"/>
        <v>0.69</v>
      </c>
      <c r="P31" s="42">
        <f t="shared" si="7"/>
        <v>127.60000000000001</v>
      </c>
      <c r="Q31" s="113"/>
      <c r="R31" s="114"/>
    </row>
    <row r="32" spans="1:18" s="6" customFormat="1" ht="15">
      <c r="A32" s="8"/>
      <c r="B32" s="49" t="s">
        <v>47</v>
      </c>
      <c r="C32" s="48">
        <v>19010000</v>
      </c>
      <c r="D32" s="36">
        <v>2032.9</v>
      </c>
      <c r="E32" s="36">
        <v>1.2</v>
      </c>
      <c r="F32" s="159">
        <v>9.9</v>
      </c>
      <c r="G32" s="36">
        <f t="shared" si="10"/>
        <v>8.700000000000001</v>
      </c>
      <c r="H32" s="32">
        <f t="shared" si="1"/>
        <v>825</v>
      </c>
      <c r="I32" s="42">
        <f t="shared" si="2"/>
        <v>-2023</v>
      </c>
      <c r="J32" s="42">
        <f t="shared" si="3"/>
        <v>0.48698903044911207</v>
      </c>
      <c r="K32" s="132">
        <f>F32-8.89</f>
        <v>1.0099999999999998</v>
      </c>
      <c r="L32" s="132">
        <f>F32/8.89*100</f>
        <v>111.36107986501686</v>
      </c>
      <c r="M32" s="32">
        <f t="shared" si="9"/>
        <v>1.2</v>
      </c>
      <c r="N32" s="32">
        <f t="shared" si="5"/>
        <v>9.9</v>
      </c>
      <c r="O32" s="40">
        <f t="shared" si="6"/>
        <v>8.700000000000001</v>
      </c>
      <c r="P32" s="42">
        <f t="shared" si="7"/>
        <v>825</v>
      </c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D34+D35+D36+D37+D38+D44+D45+D50+D51+D55+D41+D39+D54+D42</f>
        <v>6959.3</v>
      </c>
      <c r="E33" s="15">
        <f>E34+E35+E36+E37+E38+E44+E45+E50+E51+E55+E41+E39+E54+E42</f>
        <v>2316.1</v>
      </c>
      <c r="F33" s="156">
        <f>F34+F35+F36+F37+F38+F44+F45+F50+F51+F55+F41+F39+F54+F42</f>
        <v>2030.97</v>
      </c>
      <c r="G33" s="37">
        <f>F33-E33</f>
        <v>-285.1299999999999</v>
      </c>
      <c r="H33" s="38">
        <f>F33/E33*100</f>
        <v>87.68921894564139</v>
      </c>
      <c r="I33" s="28">
        <f>F33-D33</f>
        <v>-4928.33</v>
      </c>
      <c r="J33" s="28">
        <f>F33/D33*100</f>
        <v>29.183538574281897</v>
      </c>
      <c r="K33" s="15">
        <f>K34+K35+K36+K37+K38+K44+K45+K50+K51+K55+K41</f>
        <v>1007.56</v>
      </c>
      <c r="L33" s="15"/>
      <c r="M33" s="15">
        <f>M34+M35+M36+M37+M38+M44+M45+M50+M51+M55+M41+M39+M42</f>
        <v>2316.1</v>
      </c>
      <c r="N33" s="15">
        <f>N34+N35+N36+N37+N38+N44+N45+N50+N51+N55+N41+N39+N42</f>
        <v>2030.97</v>
      </c>
      <c r="O33" s="15">
        <f>N33/M33*100</f>
        <v>87.68921894564139</v>
      </c>
      <c r="P33" s="15">
        <f>N33/M33*100</f>
        <v>87.68921894564139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11</v>
      </c>
      <c r="E34" s="33">
        <v>0</v>
      </c>
      <c r="F34" s="157">
        <v>4.71</v>
      </c>
      <c r="G34" s="36">
        <f>F34-E34</f>
        <v>4.71</v>
      </c>
      <c r="H34" s="32"/>
      <c r="I34" s="42">
        <f>F34-D34</f>
        <v>-6.29</v>
      </c>
      <c r="J34" s="42">
        <f>F34/D34*100</f>
        <v>42.81818181818181</v>
      </c>
      <c r="K34" s="42">
        <f>F34-0</f>
        <v>4.71</v>
      </c>
      <c r="L34" s="42"/>
      <c r="M34" s="32">
        <f>E34</f>
        <v>0</v>
      </c>
      <c r="N34" s="32">
        <f>F34</f>
        <v>4.71</v>
      </c>
      <c r="O34" s="40">
        <f>N34-M34</f>
        <v>4.71</v>
      </c>
      <c r="P34" s="42"/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0</v>
      </c>
      <c r="E35" s="33">
        <v>0</v>
      </c>
      <c r="F35" s="157">
        <v>0</v>
      </c>
      <c r="G35" s="36">
        <f aca="true" t="shared" si="11" ref="G35:G57">F35-E35</f>
        <v>0</v>
      </c>
      <c r="H35" s="32"/>
      <c r="I35" s="42">
        <f aca="true" t="shared" si="12" ref="I35:I57">F35-D35</f>
        <v>0</v>
      </c>
      <c r="J35" s="42"/>
      <c r="K35" s="42">
        <f>F35-0</f>
        <v>0</v>
      </c>
      <c r="L35" s="42"/>
      <c r="M35" s="32">
        <f aca="true" t="shared" si="13" ref="M35:M57">E35</f>
        <v>0</v>
      </c>
      <c r="N35" s="32">
        <f aca="true" t="shared" si="14" ref="N35:N57">F35</f>
        <v>0</v>
      </c>
      <c r="O35" s="40">
        <f aca="true" t="shared" si="15" ref="O35:O57">N35-M35</f>
        <v>0</v>
      </c>
      <c r="P35" s="42"/>
      <c r="Q35" s="42"/>
      <c r="R35" s="100"/>
    </row>
    <row r="36" spans="1:18" s="6" customFormat="1" ht="15">
      <c r="A36" s="8"/>
      <c r="B36" s="144" t="s">
        <v>62</v>
      </c>
      <c r="C36" s="47">
        <v>21080500</v>
      </c>
      <c r="D36" s="33">
        <v>6</v>
      </c>
      <c r="E36" s="33">
        <v>2</v>
      </c>
      <c r="F36" s="157">
        <v>17.84</v>
      </c>
      <c r="G36" s="36">
        <f t="shared" si="11"/>
        <v>15.84</v>
      </c>
      <c r="H36" s="32">
        <f aca="true" t="shared" si="16" ref="H36:H56">F36/E36*100</f>
        <v>892</v>
      </c>
      <c r="I36" s="42">
        <f t="shared" si="12"/>
        <v>11.84</v>
      </c>
      <c r="J36" s="42">
        <f aca="true" t="shared" si="17" ref="J36:J56">F36/D36*100</f>
        <v>297.3333333333333</v>
      </c>
      <c r="K36" s="42">
        <f>F36-1.67</f>
        <v>16.17</v>
      </c>
      <c r="L36" s="42">
        <f>F36/1.67*100</f>
        <v>1068.263473053892</v>
      </c>
      <c r="M36" s="32">
        <f t="shared" si="13"/>
        <v>2</v>
      </c>
      <c r="N36" s="32">
        <f t="shared" si="14"/>
        <v>17.84</v>
      </c>
      <c r="O36" s="40">
        <f t="shared" si="15"/>
        <v>15.84</v>
      </c>
      <c r="P36" s="42">
        <f aca="true" t="shared" si="18" ref="P36:P56">N36/M36*100</f>
        <v>892</v>
      </c>
      <c r="Q36" s="42"/>
      <c r="R36" s="100"/>
    </row>
    <row r="37" spans="1:18" s="6" customFormat="1" ht="30.7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57">
        <v>0</v>
      </c>
      <c r="G37" s="36">
        <f t="shared" si="11"/>
        <v>0</v>
      </c>
      <c r="H37" s="32"/>
      <c r="I37" s="42">
        <f t="shared" si="12"/>
        <v>0</v>
      </c>
      <c r="J37" s="42"/>
      <c r="K37" s="42">
        <f>F37-0</f>
        <v>0</v>
      </c>
      <c r="L37" s="42"/>
      <c r="M37" s="32">
        <f t="shared" si="13"/>
        <v>0</v>
      </c>
      <c r="N37" s="32">
        <f t="shared" si="14"/>
        <v>0</v>
      </c>
      <c r="O37" s="40">
        <f t="shared" si="15"/>
        <v>0</v>
      </c>
      <c r="P37" s="42"/>
      <c r="Q37" s="42"/>
      <c r="R37" s="100"/>
    </row>
    <row r="38" spans="1:18" s="6" customFormat="1" ht="15">
      <c r="A38" s="8"/>
      <c r="B38" s="145" t="s">
        <v>16</v>
      </c>
      <c r="C38" s="77">
        <v>21081100</v>
      </c>
      <c r="D38" s="33">
        <v>24</v>
      </c>
      <c r="E38" s="33">
        <v>8</v>
      </c>
      <c r="F38" s="157">
        <v>-6.4</v>
      </c>
      <c r="G38" s="36">
        <f t="shared" si="11"/>
        <v>-14.4</v>
      </c>
      <c r="H38" s="32">
        <f t="shared" si="16"/>
        <v>-80</v>
      </c>
      <c r="I38" s="42">
        <f t="shared" si="12"/>
        <v>-30.4</v>
      </c>
      <c r="J38" s="42">
        <f t="shared" si="17"/>
        <v>-26.666666666666668</v>
      </c>
      <c r="K38" s="42">
        <f>F38-7.6</f>
        <v>-14</v>
      </c>
      <c r="L38" s="42">
        <f>F38/7.6*100</f>
        <v>-84.21052631578948</v>
      </c>
      <c r="M38" s="32">
        <f t="shared" si="13"/>
        <v>8</v>
      </c>
      <c r="N38" s="32">
        <f t="shared" si="14"/>
        <v>-6.4</v>
      </c>
      <c r="O38" s="40">
        <f t="shared" si="15"/>
        <v>-14.4</v>
      </c>
      <c r="P38" s="42">
        <f t="shared" si="18"/>
        <v>-80</v>
      </c>
      <c r="Q38" s="42"/>
      <c r="R38" s="100"/>
    </row>
    <row r="39" spans="1:18" s="6" customFormat="1" ht="46.5" hidden="1">
      <c r="A39" s="8"/>
      <c r="B39" s="145" t="s">
        <v>83</v>
      </c>
      <c r="C39" s="54">
        <v>21081500</v>
      </c>
      <c r="D39" s="33">
        <v>0</v>
      </c>
      <c r="E39" s="33"/>
      <c r="F39" s="157">
        <v>0</v>
      </c>
      <c r="G39" s="36">
        <f t="shared" si="11"/>
        <v>0</v>
      </c>
      <c r="H39" s="32" t="e">
        <f t="shared" si="16"/>
        <v>#DIV/0!</v>
      </c>
      <c r="I39" s="42">
        <f t="shared" si="12"/>
        <v>0</v>
      </c>
      <c r="J39" s="42" t="e">
        <f t="shared" si="17"/>
        <v>#DIV/0!</v>
      </c>
      <c r="K39" s="42">
        <f>F39-0</f>
        <v>0</v>
      </c>
      <c r="L39" s="42"/>
      <c r="M39" s="32">
        <f t="shared" si="13"/>
        <v>0</v>
      </c>
      <c r="N39" s="32">
        <f t="shared" si="14"/>
        <v>0</v>
      </c>
      <c r="O39" s="40">
        <f t="shared" si="15"/>
        <v>0</v>
      </c>
      <c r="P39" s="42" t="e">
        <f t="shared" si="18"/>
        <v>#DIV/0!</v>
      </c>
      <c r="Q39" s="42"/>
      <c r="R39" s="100"/>
    </row>
    <row r="40" spans="1:18" s="6" customFormat="1" ht="15" hidden="1">
      <c r="A40" s="8"/>
      <c r="B40" s="145"/>
      <c r="C40" s="54">
        <v>22010300</v>
      </c>
      <c r="D40" s="33"/>
      <c r="E40" s="33"/>
      <c r="F40" s="157"/>
      <c r="G40" s="36"/>
      <c r="H40" s="32"/>
      <c r="I40" s="42"/>
      <c r="J40" s="42"/>
      <c r="K40" s="42"/>
      <c r="L40" s="42"/>
      <c r="M40" s="32"/>
      <c r="N40" s="32"/>
      <c r="O40" s="40"/>
      <c r="P40" s="42"/>
      <c r="Q40" s="42"/>
      <c r="R40" s="100"/>
    </row>
    <row r="41" spans="1:18" s="6" customFormat="1" ht="15">
      <c r="A41" s="8"/>
      <c r="B41" s="35" t="s">
        <v>81</v>
      </c>
      <c r="C41" s="77">
        <v>22012500</v>
      </c>
      <c r="D41" s="33">
        <v>2250</v>
      </c>
      <c r="E41" s="33">
        <v>750</v>
      </c>
      <c r="F41" s="157">
        <v>539.02</v>
      </c>
      <c r="G41" s="36">
        <f t="shared" si="11"/>
        <v>-210.98000000000002</v>
      </c>
      <c r="H41" s="32">
        <f t="shared" si="16"/>
        <v>71.86933333333333</v>
      </c>
      <c r="I41" s="42">
        <f t="shared" si="12"/>
        <v>-1710.98</v>
      </c>
      <c r="J41" s="42">
        <f t="shared" si="17"/>
        <v>23.956444444444443</v>
      </c>
      <c r="K41" s="42">
        <f>F41-0</f>
        <v>539.02</v>
      </c>
      <c r="L41" s="42"/>
      <c r="M41" s="32">
        <f t="shared" si="13"/>
        <v>750</v>
      </c>
      <c r="N41" s="32">
        <f t="shared" si="14"/>
        <v>539.02</v>
      </c>
      <c r="O41" s="40">
        <f t="shared" si="15"/>
        <v>-210.98000000000002</v>
      </c>
      <c r="P41" s="42">
        <f t="shared" si="18"/>
        <v>71.86933333333333</v>
      </c>
      <c r="Q41" s="42"/>
      <c r="R41" s="100"/>
    </row>
    <row r="42" spans="1:18" s="6" customFormat="1" ht="30.75">
      <c r="A42" s="8"/>
      <c r="B42" s="35" t="s">
        <v>111</v>
      </c>
      <c r="C42" s="77">
        <v>22012600</v>
      </c>
      <c r="D42" s="33">
        <v>0</v>
      </c>
      <c r="E42" s="33">
        <v>0</v>
      </c>
      <c r="F42" s="157">
        <v>1.03</v>
      </c>
      <c r="G42" s="36">
        <f t="shared" si="11"/>
        <v>1.03</v>
      </c>
      <c r="H42" s="32"/>
      <c r="I42" s="42">
        <f t="shared" si="12"/>
        <v>1.03</v>
      </c>
      <c r="J42" s="42"/>
      <c r="K42" s="42"/>
      <c r="L42" s="42"/>
      <c r="M42" s="32">
        <f t="shared" si="13"/>
        <v>0</v>
      </c>
      <c r="N42" s="32">
        <f t="shared" si="14"/>
        <v>1.03</v>
      </c>
      <c r="O42" s="40">
        <f t="shared" si="15"/>
        <v>1.03</v>
      </c>
      <c r="P42" s="42"/>
      <c r="Q42" s="42"/>
      <c r="R42" s="100"/>
    </row>
    <row r="43" spans="1:18" s="6" customFormat="1" ht="15" hidden="1">
      <c r="A43" s="8"/>
      <c r="B43" s="35"/>
      <c r="C43" s="77">
        <v>22012900</v>
      </c>
      <c r="D43" s="33"/>
      <c r="E43" s="33"/>
      <c r="F43" s="157"/>
      <c r="G43" s="36"/>
      <c r="H43" s="32"/>
      <c r="I43" s="42"/>
      <c r="J43" s="42"/>
      <c r="K43" s="42"/>
      <c r="L43" s="42"/>
      <c r="M43" s="32"/>
      <c r="N43" s="32"/>
      <c r="O43" s="40"/>
      <c r="P43" s="42"/>
      <c r="Q43" s="42"/>
      <c r="R43" s="100"/>
    </row>
    <row r="44" spans="1:18" s="6" customFormat="1" ht="30.75">
      <c r="A44" s="8"/>
      <c r="B44" s="145" t="s">
        <v>14</v>
      </c>
      <c r="C44" s="54">
        <v>22080401</v>
      </c>
      <c r="D44" s="33">
        <v>2100</v>
      </c>
      <c r="E44" s="33">
        <v>700</v>
      </c>
      <c r="F44" s="157">
        <v>716.23</v>
      </c>
      <c r="G44" s="36">
        <f t="shared" si="11"/>
        <v>16.230000000000018</v>
      </c>
      <c r="H44" s="32">
        <f t="shared" si="16"/>
        <v>102.31857142857143</v>
      </c>
      <c r="I44" s="42">
        <f t="shared" si="12"/>
        <v>-1383.77</v>
      </c>
      <c r="J44" s="42">
        <f t="shared" si="17"/>
        <v>34.10619047619048</v>
      </c>
      <c r="K44" s="42">
        <f>F44-690.7</f>
        <v>25.529999999999973</v>
      </c>
      <c r="L44" s="42">
        <f>F44/690.7*100</f>
        <v>103.69625018097581</v>
      </c>
      <c r="M44" s="32">
        <f t="shared" si="13"/>
        <v>700</v>
      </c>
      <c r="N44" s="32">
        <f t="shared" si="14"/>
        <v>716.23</v>
      </c>
      <c r="O44" s="40">
        <f t="shared" si="15"/>
        <v>16.230000000000018</v>
      </c>
      <c r="P44" s="42">
        <f t="shared" si="18"/>
        <v>102.31857142857143</v>
      </c>
      <c r="Q44" s="42"/>
      <c r="R44" s="100"/>
    </row>
    <row r="45" spans="1:18" s="6" customFormat="1" ht="15">
      <c r="A45" s="8"/>
      <c r="B45" s="145" t="s">
        <v>15</v>
      </c>
      <c r="C45" s="48">
        <v>22090000</v>
      </c>
      <c r="D45" s="33">
        <v>1518.3</v>
      </c>
      <c r="E45" s="33">
        <v>506.1</v>
      </c>
      <c r="F45" s="157">
        <v>408.2</v>
      </c>
      <c r="G45" s="36">
        <f t="shared" si="11"/>
        <v>-97.90000000000003</v>
      </c>
      <c r="H45" s="32">
        <f t="shared" si="16"/>
        <v>80.65599683856945</v>
      </c>
      <c r="I45" s="42">
        <f t="shared" si="12"/>
        <v>-1110.1</v>
      </c>
      <c r="J45" s="42">
        <f t="shared" si="17"/>
        <v>26.88533227952315</v>
      </c>
      <c r="K45" s="42">
        <f>F45-59.21</f>
        <v>348.99</v>
      </c>
      <c r="L45" s="42">
        <f>F45/59.21*100</f>
        <v>689.4105725384226</v>
      </c>
      <c r="M45" s="32">
        <f t="shared" si="13"/>
        <v>506.1</v>
      </c>
      <c r="N45" s="32">
        <f t="shared" si="14"/>
        <v>408.2</v>
      </c>
      <c r="O45" s="40">
        <f t="shared" si="15"/>
        <v>-97.90000000000003</v>
      </c>
      <c r="P45" s="42">
        <f t="shared" si="18"/>
        <v>80.65599683856945</v>
      </c>
      <c r="Q45" s="42"/>
      <c r="R45" s="100"/>
    </row>
    <row r="46" spans="1:18" s="6" customFormat="1" ht="15">
      <c r="A46" s="8"/>
      <c r="B46" s="55" t="s">
        <v>101</v>
      </c>
      <c r="C46" s="138">
        <v>22090100</v>
      </c>
      <c r="D46" s="109">
        <v>165</v>
      </c>
      <c r="E46" s="109">
        <v>55</v>
      </c>
      <c r="F46" s="158">
        <v>25.99</v>
      </c>
      <c r="G46" s="36">
        <f t="shared" si="11"/>
        <v>-29.01</v>
      </c>
      <c r="H46" s="32">
        <f t="shared" si="16"/>
        <v>47.25454545454545</v>
      </c>
      <c r="I46" s="42">
        <f t="shared" si="12"/>
        <v>-139.01</v>
      </c>
      <c r="J46" s="42">
        <f t="shared" si="17"/>
        <v>15.75151515151515</v>
      </c>
      <c r="K46" s="110">
        <f>F46-51.96</f>
        <v>-25.970000000000002</v>
      </c>
      <c r="L46" s="110">
        <f>F46/51.96*100</f>
        <v>50.01924557351809</v>
      </c>
      <c r="M46" s="32">
        <f t="shared" si="13"/>
        <v>55</v>
      </c>
      <c r="N46" s="32">
        <f t="shared" si="14"/>
        <v>25.99</v>
      </c>
      <c r="O46" s="40">
        <f t="shared" si="15"/>
        <v>-29.01</v>
      </c>
      <c r="P46" s="42">
        <f t="shared" si="18"/>
        <v>47.25454545454545</v>
      </c>
      <c r="Q46" s="42"/>
      <c r="R46" s="100"/>
    </row>
    <row r="47" spans="1:18" s="6" customFormat="1" ht="15">
      <c r="A47" s="8"/>
      <c r="B47" s="55" t="s">
        <v>98</v>
      </c>
      <c r="C47" s="138">
        <v>22090200</v>
      </c>
      <c r="D47" s="109">
        <v>3</v>
      </c>
      <c r="E47" s="109">
        <v>1</v>
      </c>
      <c r="F47" s="158">
        <v>0.04</v>
      </c>
      <c r="G47" s="36">
        <f t="shared" si="11"/>
        <v>-0.96</v>
      </c>
      <c r="H47" s="32">
        <f t="shared" si="16"/>
        <v>4</v>
      </c>
      <c r="I47" s="42">
        <f t="shared" si="12"/>
        <v>-2.96</v>
      </c>
      <c r="J47" s="42">
        <f t="shared" si="17"/>
        <v>1.3333333333333335</v>
      </c>
      <c r="K47" s="110">
        <f>F47-0</f>
        <v>0.04</v>
      </c>
      <c r="L47" s="110"/>
      <c r="M47" s="32">
        <f t="shared" si="13"/>
        <v>1</v>
      </c>
      <c r="N47" s="32">
        <f t="shared" si="14"/>
        <v>0.04</v>
      </c>
      <c r="O47" s="40">
        <f t="shared" si="15"/>
        <v>-0.96</v>
      </c>
      <c r="P47" s="42">
        <f t="shared" si="18"/>
        <v>4</v>
      </c>
      <c r="Q47" s="42"/>
      <c r="R47" s="100"/>
    </row>
    <row r="48" spans="1:18" s="6" customFormat="1" ht="15">
      <c r="A48" s="8"/>
      <c r="B48" s="55" t="s">
        <v>99</v>
      </c>
      <c r="C48" s="138">
        <v>22090300</v>
      </c>
      <c r="D48" s="109">
        <v>0.3</v>
      </c>
      <c r="E48" s="109">
        <v>0.1</v>
      </c>
      <c r="F48" s="158">
        <v>0</v>
      </c>
      <c r="G48" s="36">
        <f t="shared" si="11"/>
        <v>-0.1</v>
      </c>
      <c r="H48" s="32">
        <f t="shared" si="16"/>
        <v>0</v>
      </c>
      <c r="I48" s="42">
        <f t="shared" si="12"/>
        <v>-0.3</v>
      </c>
      <c r="J48" s="42">
        <f t="shared" si="17"/>
        <v>0</v>
      </c>
      <c r="K48" s="110">
        <f>F48-0</f>
        <v>0</v>
      </c>
      <c r="L48" s="110"/>
      <c r="M48" s="32">
        <f t="shared" si="13"/>
        <v>0.1</v>
      </c>
      <c r="N48" s="32">
        <f t="shared" si="14"/>
        <v>0</v>
      </c>
      <c r="O48" s="40">
        <f t="shared" si="15"/>
        <v>-0.1</v>
      </c>
      <c r="P48" s="42">
        <f t="shared" si="18"/>
        <v>0</v>
      </c>
      <c r="Q48" s="42"/>
      <c r="R48" s="100"/>
    </row>
    <row r="49" spans="1:18" s="6" customFormat="1" ht="15">
      <c r="A49" s="8"/>
      <c r="B49" s="55" t="s">
        <v>100</v>
      </c>
      <c r="C49" s="138">
        <v>22090400</v>
      </c>
      <c r="D49" s="109">
        <v>1350</v>
      </c>
      <c r="E49" s="109">
        <v>450</v>
      </c>
      <c r="F49" s="158">
        <v>382.17</v>
      </c>
      <c r="G49" s="36">
        <f t="shared" si="11"/>
        <v>-67.82999999999998</v>
      </c>
      <c r="H49" s="32">
        <f t="shared" si="16"/>
        <v>84.92666666666668</v>
      </c>
      <c r="I49" s="42">
        <f t="shared" si="12"/>
        <v>-967.8299999999999</v>
      </c>
      <c r="J49" s="42">
        <f t="shared" si="17"/>
        <v>28.308888888888887</v>
      </c>
      <c r="K49" s="110">
        <f>F49-7.25</f>
        <v>374.92</v>
      </c>
      <c r="L49" s="110">
        <f>F49/7.25*100</f>
        <v>5271.310344827587</v>
      </c>
      <c r="M49" s="32">
        <f t="shared" si="13"/>
        <v>450</v>
      </c>
      <c r="N49" s="32">
        <f t="shared" si="14"/>
        <v>382.17</v>
      </c>
      <c r="O49" s="40">
        <f t="shared" si="15"/>
        <v>-67.82999999999998</v>
      </c>
      <c r="P49" s="42">
        <f t="shared" si="18"/>
        <v>84.92666666666668</v>
      </c>
      <c r="Q49" s="42"/>
      <c r="R49" s="100"/>
    </row>
    <row r="50" spans="1:18" s="6" customFormat="1" ht="46.5">
      <c r="A50" s="8"/>
      <c r="B50" s="13" t="s">
        <v>17</v>
      </c>
      <c r="C50" s="11" t="s">
        <v>18</v>
      </c>
      <c r="D50" s="33">
        <v>0</v>
      </c>
      <c r="E50" s="33">
        <v>0</v>
      </c>
      <c r="F50" s="157">
        <v>0.17</v>
      </c>
      <c r="G50" s="36">
        <f t="shared" si="11"/>
        <v>0.17</v>
      </c>
      <c r="H50" s="32"/>
      <c r="I50" s="42">
        <f t="shared" si="12"/>
        <v>0.17</v>
      </c>
      <c r="J50" s="42"/>
      <c r="K50" s="42">
        <f>F50-0</f>
        <v>0.17</v>
      </c>
      <c r="L50" s="42"/>
      <c r="M50" s="32">
        <f t="shared" si="13"/>
        <v>0</v>
      </c>
      <c r="N50" s="32">
        <f t="shared" si="14"/>
        <v>0.17</v>
      </c>
      <c r="O50" s="40">
        <f t="shared" si="15"/>
        <v>0.17</v>
      </c>
      <c r="P50" s="42"/>
      <c r="Q50" s="42"/>
      <c r="R50" s="100"/>
    </row>
    <row r="51" spans="1:18" s="6" customFormat="1" ht="15.75" customHeight="1">
      <c r="A51" s="8"/>
      <c r="B51" s="146" t="s">
        <v>13</v>
      </c>
      <c r="C51" s="11" t="s">
        <v>19</v>
      </c>
      <c r="D51" s="33">
        <v>1050</v>
      </c>
      <c r="E51" s="33">
        <v>350</v>
      </c>
      <c r="F51" s="157">
        <v>317.98</v>
      </c>
      <c r="G51" s="36">
        <f t="shared" si="11"/>
        <v>-32.01999999999998</v>
      </c>
      <c r="H51" s="32">
        <f t="shared" si="16"/>
        <v>90.85142857142857</v>
      </c>
      <c r="I51" s="42">
        <f t="shared" si="12"/>
        <v>-732.02</v>
      </c>
      <c r="J51" s="42">
        <f t="shared" si="17"/>
        <v>30.283809523809524</v>
      </c>
      <c r="K51" s="42">
        <f>F51-263.2</f>
        <v>54.78000000000003</v>
      </c>
      <c r="L51" s="42">
        <f>F51/263.02*100</f>
        <v>120.89574937267129</v>
      </c>
      <c r="M51" s="32">
        <f t="shared" si="13"/>
        <v>350</v>
      </c>
      <c r="N51" s="32">
        <f t="shared" si="14"/>
        <v>317.98</v>
      </c>
      <c r="O51" s="40">
        <f t="shared" si="15"/>
        <v>-32.01999999999998</v>
      </c>
      <c r="P51" s="42">
        <f t="shared" si="18"/>
        <v>90.85142857142857</v>
      </c>
      <c r="Q51" s="42"/>
      <c r="R51" s="100"/>
    </row>
    <row r="52" spans="1:18" s="6" customFormat="1" ht="15" hidden="1">
      <c r="A52" s="8"/>
      <c r="B52" s="12" t="s">
        <v>22</v>
      </c>
      <c r="C52" s="66" t="s">
        <v>23</v>
      </c>
      <c r="D52" s="33">
        <v>0</v>
      </c>
      <c r="E52" s="33">
        <v>0</v>
      </c>
      <c r="F52" s="157">
        <v>0</v>
      </c>
      <c r="G52" s="36">
        <f t="shared" si="11"/>
        <v>0</v>
      </c>
      <c r="H52" s="32" t="e">
        <f t="shared" si="16"/>
        <v>#DIV/0!</v>
      </c>
      <c r="I52" s="42">
        <f t="shared" si="12"/>
        <v>0</v>
      </c>
      <c r="J52" s="42" t="e">
        <f t="shared" si="17"/>
        <v>#DIV/0!</v>
      </c>
      <c r="K52" s="42"/>
      <c r="L52" s="42">
        <f>F52</f>
        <v>0</v>
      </c>
      <c r="M52" s="32">
        <f t="shared" si="13"/>
        <v>0</v>
      </c>
      <c r="N52" s="32">
        <f t="shared" si="14"/>
        <v>0</v>
      </c>
      <c r="O52" s="40">
        <f t="shared" si="15"/>
        <v>0</v>
      </c>
      <c r="P52" s="42" t="e">
        <f t="shared" si="18"/>
        <v>#DIV/0!</v>
      </c>
      <c r="Q52" s="42"/>
      <c r="R52" s="100">
        <f>N52/277.38</f>
        <v>0</v>
      </c>
    </row>
    <row r="53" spans="1:18" s="6" customFormat="1" ht="30.75">
      <c r="A53" s="8"/>
      <c r="B53" s="55" t="s">
        <v>43</v>
      </c>
      <c r="C53" s="66"/>
      <c r="D53" s="109"/>
      <c r="E53" s="109"/>
      <c r="F53" s="158">
        <v>70.16</v>
      </c>
      <c r="G53" s="36">
        <f t="shared" si="11"/>
        <v>70.16</v>
      </c>
      <c r="H53" s="32"/>
      <c r="I53" s="42">
        <f t="shared" si="12"/>
        <v>70.16</v>
      </c>
      <c r="J53" s="42"/>
      <c r="K53" s="112">
        <f>F53-82.7</f>
        <v>-12.540000000000006</v>
      </c>
      <c r="L53" s="112">
        <f>F53/82.7*100</f>
        <v>84.83675937122128</v>
      </c>
      <c r="M53" s="32">
        <f t="shared" si="13"/>
        <v>0</v>
      </c>
      <c r="N53" s="32">
        <f t="shared" si="14"/>
        <v>70.16</v>
      </c>
      <c r="O53" s="40">
        <f t="shared" si="15"/>
        <v>70.16</v>
      </c>
      <c r="P53" s="42"/>
      <c r="Q53" s="42"/>
      <c r="R53" s="100"/>
    </row>
    <row r="54" spans="1:18" s="6" customFormat="1" ht="15">
      <c r="A54" s="8"/>
      <c r="B54" s="146" t="s">
        <v>20</v>
      </c>
      <c r="C54" s="143" t="s">
        <v>21</v>
      </c>
      <c r="D54" s="36">
        <v>0</v>
      </c>
      <c r="E54" s="36">
        <v>0</v>
      </c>
      <c r="F54" s="159">
        <v>0</v>
      </c>
      <c r="G54" s="36">
        <f t="shared" si="11"/>
        <v>0</v>
      </c>
      <c r="H54" s="32"/>
      <c r="I54" s="42">
        <f t="shared" si="12"/>
        <v>0</v>
      </c>
      <c r="J54" s="42"/>
      <c r="K54" s="112"/>
      <c r="L54" s="112"/>
      <c r="M54" s="32">
        <f t="shared" si="13"/>
        <v>0</v>
      </c>
      <c r="N54" s="32">
        <f t="shared" si="14"/>
        <v>0</v>
      </c>
      <c r="O54" s="40">
        <f t="shared" si="15"/>
        <v>0</v>
      </c>
      <c r="P54" s="42"/>
      <c r="Q54" s="42"/>
      <c r="R54" s="100"/>
    </row>
    <row r="55" spans="1:18" s="6" customFormat="1" ht="44.25" customHeight="1">
      <c r="A55" s="8"/>
      <c r="B55" s="146" t="s">
        <v>44</v>
      </c>
      <c r="C55" s="48">
        <v>24061900</v>
      </c>
      <c r="D55" s="33">
        <v>0</v>
      </c>
      <c r="E55" s="33">
        <v>0</v>
      </c>
      <c r="F55" s="157">
        <v>32.19</v>
      </c>
      <c r="G55" s="36">
        <f t="shared" si="11"/>
        <v>32.19</v>
      </c>
      <c r="H55" s="32"/>
      <c r="I55" s="42">
        <f t="shared" si="12"/>
        <v>32.19</v>
      </c>
      <c r="J55" s="42"/>
      <c r="K55" s="42">
        <f>F55-0</f>
        <v>32.19</v>
      </c>
      <c r="L55" s="42"/>
      <c r="M55" s="32">
        <f t="shared" si="13"/>
        <v>0</v>
      </c>
      <c r="N55" s="32">
        <f t="shared" si="14"/>
        <v>32.19</v>
      </c>
      <c r="O55" s="40">
        <f t="shared" si="15"/>
        <v>32.19</v>
      </c>
      <c r="P55" s="42"/>
      <c r="Q55" s="42"/>
      <c r="R55" s="100"/>
    </row>
    <row r="56" spans="1:18" s="6" customFormat="1" ht="15">
      <c r="A56" s="8"/>
      <c r="B56" s="12" t="s">
        <v>45</v>
      </c>
      <c r="C56" s="48">
        <v>31010200</v>
      </c>
      <c r="D56" s="33">
        <v>3</v>
      </c>
      <c r="E56" s="33">
        <v>1</v>
      </c>
      <c r="F56" s="157">
        <v>1</v>
      </c>
      <c r="G56" s="36">
        <f t="shared" si="11"/>
        <v>0</v>
      </c>
      <c r="H56" s="32">
        <f t="shared" si="16"/>
        <v>100</v>
      </c>
      <c r="I56" s="42">
        <f t="shared" si="12"/>
        <v>-2</v>
      </c>
      <c r="J56" s="42">
        <f t="shared" si="17"/>
        <v>33.33333333333333</v>
      </c>
      <c r="K56" s="42">
        <f>F56-1.8</f>
        <v>-0.8</v>
      </c>
      <c r="L56" s="42">
        <f>F56/1.8*100</f>
        <v>55.55555555555556</v>
      </c>
      <c r="M56" s="32">
        <f t="shared" si="13"/>
        <v>1</v>
      </c>
      <c r="N56" s="32">
        <f t="shared" si="14"/>
        <v>1</v>
      </c>
      <c r="O56" s="40">
        <f t="shared" si="15"/>
        <v>0</v>
      </c>
      <c r="P56" s="42">
        <f t="shared" si="18"/>
        <v>100</v>
      </c>
      <c r="Q56" s="42"/>
      <c r="R56" s="100"/>
    </row>
    <row r="57" spans="1:18" s="6" customFormat="1" ht="30.75">
      <c r="A57" s="8"/>
      <c r="B57" s="12" t="s">
        <v>58</v>
      </c>
      <c r="C57" s="48">
        <v>31020000</v>
      </c>
      <c r="D57" s="33">
        <v>0</v>
      </c>
      <c r="E57" s="33">
        <v>0</v>
      </c>
      <c r="F57" s="157">
        <v>0</v>
      </c>
      <c r="G57" s="36">
        <f t="shared" si="11"/>
        <v>0</v>
      </c>
      <c r="H57" s="32"/>
      <c r="I57" s="42">
        <f t="shared" si="12"/>
        <v>0</v>
      </c>
      <c r="J57" s="42"/>
      <c r="K57" s="42">
        <f>F57-0.02</f>
        <v>-0.02</v>
      </c>
      <c r="L57" s="42"/>
      <c r="M57" s="32">
        <f t="shared" si="13"/>
        <v>0</v>
      </c>
      <c r="N57" s="32">
        <f t="shared" si="14"/>
        <v>0</v>
      </c>
      <c r="O57" s="40">
        <f t="shared" si="15"/>
        <v>0</v>
      </c>
      <c r="P57" s="42"/>
      <c r="Q57" s="42"/>
      <c r="R57" s="100"/>
    </row>
    <row r="58" spans="1:20" s="6" customFormat="1" ht="17.25">
      <c r="A58" s="9"/>
      <c r="B58" s="14" t="s">
        <v>28</v>
      </c>
      <c r="C58" s="67"/>
      <c r="D58" s="15">
        <f>D8+D33+D56+D57</f>
        <v>163963.24999999997</v>
      </c>
      <c r="E58" s="15">
        <f>E8+E33+E56+E57</f>
        <v>54894.32</v>
      </c>
      <c r="F58" s="156">
        <f>F8+F33+F56+F57</f>
        <v>62612.6</v>
      </c>
      <c r="G58" s="37">
        <f>F58-E58</f>
        <v>7718.279999999999</v>
      </c>
      <c r="H58" s="38">
        <f>F58/E58*100</f>
        <v>114.06025249971216</v>
      </c>
      <c r="I58" s="28">
        <f>F58-D58</f>
        <v>-101350.64999999997</v>
      </c>
      <c r="J58" s="28">
        <f>F58/D58*100</f>
        <v>38.186971775687546</v>
      </c>
      <c r="K58" s="28">
        <f>K8+K33+K56+K57</f>
        <v>23873.059999999998</v>
      </c>
      <c r="L58" s="28">
        <f>F58/38738.5*100</f>
        <v>161.62887050350426</v>
      </c>
      <c r="M58" s="15">
        <f>M8+M33+M56+M57</f>
        <v>54894.32</v>
      </c>
      <c r="N58" s="15">
        <f>N8+N33+N56+N57</f>
        <v>62612.6</v>
      </c>
      <c r="O58" s="41">
        <f>N58-M58</f>
        <v>7718.279999999999</v>
      </c>
      <c r="P58" s="28">
        <f>N58/M58*100</f>
        <v>114.06025249971216</v>
      </c>
      <c r="Q58" s="28">
        <f>N58-34768</f>
        <v>27844.6</v>
      </c>
      <c r="R58" s="128">
        <f>N58/34768</f>
        <v>1.8008686148182236</v>
      </c>
      <c r="T58" s="147"/>
    </row>
    <row r="59" spans="1:18" s="53" customFormat="1" ht="17.25" hidden="1">
      <c r="A59" s="50"/>
      <c r="B59" s="60"/>
      <c r="C59" s="68"/>
      <c r="D59" s="51"/>
      <c r="E59" s="51"/>
      <c r="F59" s="161"/>
      <c r="G59" s="82"/>
      <c r="H59" s="52"/>
      <c r="I59" s="59"/>
      <c r="J59" s="39"/>
      <c r="K59" s="39"/>
      <c r="L59" s="39"/>
      <c r="M59" s="52"/>
      <c r="N59" s="51"/>
      <c r="O59" s="85"/>
      <c r="P59" s="39"/>
      <c r="Q59" s="39"/>
      <c r="R59" s="102"/>
    </row>
    <row r="60" spans="1:18" s="53" customFormat="1" ht="17.25" hidden="1">
      <c r="A60" s="50"/>
      <c r="B60" s="61"/>
      <c r="C60" s="68"/>
      <c r="D60" s="62"/>
      <c r="E60" s="51"/>
      <c r="F60" s="161"/>
      <c r="G60" s="45"/>
      <c r="H60" s="52"/>
      <c r="I60" s="63"/>
      <c r="J60" s="39"/>
      <c r="K60" s="39"/>
      <c r="L60" s="39"/>
      <c r="M60" s="32"/>
      <c r="N60" s="51"/>
      <c r="O60" s="64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36"/>
      <c r="F61" s="162"/>
      <c r="G61" s="45"/>
      <c r="H61" s="52"/>
      <c r="I61" s="63"/>
      <c r="J61" s="39"/>
      <c r="K61" s="39"/>
      <c r="L61" s="39"/>
      <c r="M61" s="32"/>
      <c r="N61" s="62"/>
      <c r="O61" s="85"/>
      <c r="P61" s="39"/>
      <c r="Q61" s="39"/>
      <c r="R61" s="102"/>
    </row>
    <row r="62" spans="2:18" ht="15">
      <c r="B62" s="22" t="s">
        <v>29</v>
      </c>
      <c r="C62" s="69"/>
      <c r="D62" s="25"/>
      <c r="E62" s="25"/>
      <c r="F62" s="163"/>
      <c r="G62" s="36"/>
      <c r="H62" s="32"/>
      <c r="I62" s="43"/>
      <c r="J62" s="43"/>
      <c r="K62" s="43"/>
      <c r="L62" s="43"/>
      <c r="M62" s="33"/>
      <c r="N62" s="33"/>
      <c r="O62" s="40"/>
      <c r="P62" s="43"/>
      <c r="Q62" s="43"/>
      <c r="R62" s="103"/>
    </row>
    <row r="63" spans="2:18" ht="25.5" customHeight="1">
      <c r="B63" s="149" t="s">
        <v>112</v>
      </c>
      <c r="C63" s="150">
        <v>12020000</v>
      </c>
      <c r="D63" s="25">
        <v>0</v>
      </c>
      <c r="E63" s="25">
        <v>0</v>
      </c>
      <c r="F63" s="163">
        <v>8.75</v>
      </c>
      <c r="G63" s="36"/>
      <c r="H63" s="32"/>
      <c r="I63" s="43"/>
      <c r="J63" s="43"/>
      <c r="K63" s="43"/>
      <c r="L63" s="43"/>
      <c r="M63" s="33"/>
      <c r="N63" s="33">
        <f>F63</f>
        <v>8.75</v>
      </c>
      <c r="O63" s="40"/>
      <c r="P63" s="43"/>
      <c r="Q63" s="43"/>
      <c r="R63" s="103"/>
    </row>
    <row r="64" spans="2:18" ht="30.75">
      <c r="B64" s="23" t="s">
        <v>63</v>
      </c>
      <c r="C64" s="78">
        <v>18041500</v>
      </c>
      <c r="D64" s="25">
        <v>0</v>
      </c>
      <c r="E64" s="25">
        <v>0</v>
      </c>
      <c r="F64" s="163">
        <v>-0.27</v>
      </c>
      <c r="G64" s="36">
        <f>F64-E64</f>
        <v>-0.27</v>
      </c>
      <c r="H64" s="32"/>
      <c r="I64" s="43">
        <f>F64-D64</f>
        <v>-0.27</v>
      </c>
      <c r="J64" s="43"/>
      <c r="K64" s="40">
        <f>F64-4.4</f>
        <v>-4.67</v>
      </c>
      <c r="L64" s="43"/>
      <c r="M64" s="32">
        <v>0</v>
      </c>
      <c r="N64" s="33">
        <f>F64</f>
        <v>-0.27</v>
      </c>
      <c r="O64" s="40">
        <f>N64-M64</f>
        <v>-0.27</v>
      </c>
      <c r="P64" s="43"/>
      <c r="Q64" s="43"/>
      <c r="R64" s="103"/>
    </row>
    <row r="65" spans="2:18" ht="15">
      <c r="B65" s="29" t="s">
        <v>46</v>
      </c>
      <c r="C65" s="79"/>
      <c r="D65" s="30">
        <f>D64</f>
        <v>0</v>
      </c>
      <c r="E65" s="30">
        <f>E64</f>
        <v>0</v>
      </c>
      <c r="F65" s="164">
        <f>SUM(F63:F64)</f>
        <v>8.48</v>
      </c>
      <c r="G65" s="45">
        <f>F65-E65</f>
        <v>8.48</v>
      </c>
      <c r="H65" s="52"/>
      <c r="I65" s="44">
        <f>F65-D65</f>
        <v>8.48</v>
      </c>
      <c r="J65" s="44"/>
      <c r="K65" s="44">
        <f>K63+K64</f>
        <v>-4.67</v>
      </c>
      <c r="L65" s="44"/>
      <c r="M65" s="45">
        <f>M64</f>
        <v>0</v>
      </c>
      <c r="N65" s="30">
        <f>SUM(N63:N64)</f>
        <v>8.48</v>
      </c>
      <c r="O65" s="44">
        <f>N65-M65</f>
        <v>8.48</v>
      </c>
      <c r="P65" s="44"/>
      <c r="Q65" s="44"/>
      <c r="R65" s="104"/>
    </row>
    <row r="66" spans="2:18" ht="46.5" hidden="1">
      <c r="B66" s="23" t="s">
        <v>38</v>
      </c>
      <c r="C66" s="79">
        <v>21110000</v>
      </c>
      <c r="D66" s="25">
        <v>0</v>
      </c>
      <c r="E66" s="25"/>
      <c r="F66" s="163">
        <v>0</v>
      </c>
      <c r="G66" s="36" t="e">
        <f>#N/A</f>
        <v>#N/A</v>
      </c>
      <c r="H66" s="32" t="e">
        <f>F66/E66*100</f>
        <v>#DIV/0!</v>
      </c>
      <c r="I66" s="43" t="e">
        <f>#N/A</f>
        <v>#N/A</v>
      </c>
      <c r="J66" s="43" t="e">
        <f>#N/A</f>
        <v>#N/A</v>
      </c>
      <c r="K66" s="43"/>
      <c r="L66" s="43"/>
      <c r="M66" s="33">
        <v>0</v>
      </c>
      <c r="N66" s="33">
        <f>F66</f>
        <v>0</v>
      </c>
      <c r="O66" s="40" t="e">
        <f>#N/A</f>
        <v>#N/A</v>
      </c>
      <c r="P66" s="43"/>
      <c r="Q66" s="43"/>
      <c r="R66" s="103"/>
    </row>
    <row r="67" spans="2:18" ht="30.75">
      <c r="B67" s="23" t="s">
        <v>30</v>
      </c>
      <c r="C67" s="78">
        <v>31030000</v>
      </c>
      <c r="D67" s="25">
        <v>0</v>
      </c>
      <c r="E67" s="25">
        <v>0</v>
      </c>
      <c r="F67" s="163">
        <v>0.06</v>
      </c>
      <c r="G67" s="36">
        <f aca="true" t="shared" si="19" ref="G67:G76">F67-E67</f>
        <v>0.06</v>
      </c>
      <c r="H67" s="32"/>
      <c r="I67" s="43">
        <f aca="true" t="shared" si="20" ref="I67:I76">F67-D67</f>
        <v>0.06</v>
      </c>
      <c r="J67" s="43"/>
      <c r="K67" s="43">
        <f>F67-0.03</f>
        <v>0.03</v>
      </c>
      <c r="L67" s="43">
        <f>F67/0.03*100</f>
        <v>200</v>
      </c>
      <c r="M67" s="32">
        <f>E67</f>
        <v>0</v>
      </c>
      <c r="N67" s="32">
        <f>F67</f>
        <v>0.06</v>
      </c>
      <c r="O67" s="40">
        <f aca="true" t="shared" si="21" ref="O67:O79">N67-M67</f>
        <v>0.06</v>
      </c>
      <c r="P67" s="43"/>
      <c r="Q67" s="43"/>
      <c r="R67" s="103"/>
    </row>
    <row r="68" spans="2:18" ht="15">
      <c r="B68" s="23" t="s">
        <v>31</v>
      </c>
      <c r="C68" s="78">
        <v>33010000</v>
      </c>
      <c r="D68" s="25">
        <v>0</v>
      </c>
      <c r="E68" s="25">
        <v>0</v>
      </c>
      <c r="F68" s="163">
        <v>22.91</v>
      </c>
      <c r="G68" s="36">
        <f t="shared" si="19"/>
        <v>22.91</v>
      </c>
      <c r="H68" s="32"/>
      <c r="I68" s="43">
        <f t="shared" si="20"/>
        <v>22.91</v>
      </c>
      <c r="J68" s="43"/>
      <c r="K68" s="43">
        <f>F68-259.69</f>
        <v>-236.78</v>
      </c>
      <c r="L68" s="43">
        <f>F68/259.69*100</f>
        <v>8.822057068042666</v>
      </c>
      <c r="M68" s="32">
        <f>E68</f>
        <v>0</v>
      </c>
      <c r="N68" s="32">
        <f>F68</f>
        <v>22.91</v>
      </c>
      <c r="O68" s="40">
        <f t="shared" si="21"/>
        <v>22.91</v>
      </c>
      <c r="P68" s="43"/>
      <c r="Q68" s="43"/>
      <c r="R68" s="103"/>
    </row>
    <row r="69" spans="2:18" ht="30.75">
      <c r="B69" s="23" t="s">
        <v>55</v>
      </c>
      <c r="C69" s="78">
        <v>24170000</v>
      </c>
      <c r="D69" s="25">
        <v>0</v>
      </c>
      <c r="E69" s="25">
        <v>0</v>
      </c>
      <c r="F69" s="163">
        <v>282.85</v>
      </c>
      <c r="G69" s="36">
        <f t="shared" si="19"/>
        <v>282.85</v>
      </c>
      <c r="H69" s="32"/>
      <c r="I69" s="43">
        <f t="shared" si="20"/>
        <v>282.85</v>
      </c>
      <c r="J69" s="43"/>
      <c r="K69" s="43">
        <f>F69-(-16.04)</f>
        <v>298.89000000000004</v>
      </c>
      <c r="L69" s="43">
        <f>F69/(-16.04)*100</f>
        <v>-1763.4039900249381</v>
      </c>
      <c r="M69" s="32">
        <f>E69</f>
        <v>0</v>
      </c>
      <c r="N69" s="32">
        <f>F69</f>
        <v>282.85</v>
      </c>
      <c r="O69" s="40">
        <f t="shared" si="21"/>
        <v>282.85</v>
      </c>
      <c r="P69" s="43"/>
      <c r="Q69" s="43"/>
      <c r="R69" s="103"/>
    </row>
    <row r="70" spans="2:18" ht="15">
      <c r="B70" s="23" t="s">
        <v>113</v>
      </c>
      <c r="C70" s="78">
        <v>24110700</v>
      </c>
      <c r="D70" s="25">
        <v>0</v>
      </c>
      <c r="E70" s="25">
        <v>0</v>
      </c>
      <c r="F70" s="163">
        <v>1</v>
      </c>
      <c r="G70" s="36">
        <f t="shared" si="19"/>
        <v>1</v>
      </c>
      <c r="H70" s="32"/>
      <c r="I70" s="43">
        <f t="shared" si="20"/>
        <v>1</v>
      </c>
      <c r="J70" s="43"/>
      <c r="K70" s="43">
        <f>F70-0</f>
        <v>1</v>
      </c>
      <c r="L70" s="43"/>
      <c r="M70" s="32"/>
      <c r="N70" s="32">
        <f>F70</f>
        <v>1</v>
      </c>
      <c r="O70" s="40"/>
      <c r="P70" s="43"/>
      <c r="Q70" s="43"/>
      <c r="R70" s="151"/>
    </row>
    <row r="71" spans="2:18" ht="33">
      <c r="B71" s="29" t="s">
        <v>52</v>
      </c>
      <c r="C71" s="70"/>
      <c r="D71" s="30">
        <f>D67+D68+D69+D70</f>
        <v>0</v>
      </c>
      <c r="E71" s="30">
        <f>E67+E68+E69+E70</f>
        <v>0</v>
      </c>
      <c r="F71" s="164">
        <f>F67+F68+F69+F70</f>
        <v>306.82000000000005</v>
      </c>
      <c r="G71" s="45">
        <f t="shared" si="19"/>
        <v>306.82000000000005</v>
      </c>
      <c r="H71" s="52"/>
      <c r="I71" s="44">
        <f t="shared" si="20"/>
        <v>306.82000000000005</v>
      </c>
      <c r="J71" s="44"/>
      <c r="K71" s="44">
        <f>K67+K68+K69+K70</f>
        <v>63.14000000000004</v>
      </c>
      <c r="L71" s="44">
        <f>F71/243.68*100</f>
        <v>125.91103086014448</v>
      </c>
      <c r="M71" s="45">
        <f>M67+M68+M69+M70</f>
        <v>0</v>
      </c>
      <c r="N71" s="45">
        <f>N67+N68+N69+N70</f>
        <v>306.82000000000005</v>
      </c>
      <c r="O71" s="44">
        <f t="shared" si="21"/>
        <v>306.82000000000005</v>
      </c>
      <c r="P71" s="44"/>
      <c r="Q71" s="44"/>
      <c r="R71" s="129"/>
    </row>
    <row r="72" spans="2:18" ht="46.5">
      <c r="B72" s="12" t="s">
        <v>41</v>
      </c>
      <c r="C72" s="80">
        <v>24062100</v>
      </c>
      <c r="D72" s="25">
        <v>0</v>
      </c>
      <c r="E72" s="25">
        <v>0</v>
      </c>
      <c r="F72" s="163">
        <v>0</v>
      </c>
      <c r="G72" s="36">
        <f t="shared" si="19"/>
        <v>0</v>
      </c>
      <c r="H72" s="32"/>
      <c r="I72" s="43">
        <f t="shared" si="20"/>
        <v>0</v>
      </c>
      <c r="J72" s="43"/>
      <c r="K72" s="43">
        <f>F72-0</f>
        <v>0</v>
      </c>
      <c r="L72" s="43" t="e">
        <f>F72/0*100</f>
        <v>#DIV/0!</v>
      </c>
      <c r="M72" s="32">
        <f aca="true" t="shared" si="22" ref="M72:N74">E72</f>
        <v>0</v>
      </c>
      <c r="N72" s="32">
        <f t="shared" si="22"/>
        <v>0</v>
      </c>
      <c r="O72" s="40">
        <f t="shared" si="21"/>
        <v>0</v>
      </c>
      <c r="P72" s="43"/>
      <c r="Q72" s="43"/>
      <c r="R72" s="103"/>
    </row>
    <row r="73" spans="2:18" ht="15">
      <c r="B73" s="23" t="s">
        <v>53</v>
      </c>
      <c r="C73" s="78">
        <v>24061600</v>
      </c>
      <c r="D73" s="25">
        <v>0</v>
      </c>
      <c r="E73" s="25">
        <v>0</v>
      </c>
      <c r="F73" s="163">
        <v>0</v>
      </c>
      <c r="G73" s="36">
        <f t="shared" si="19"/>
        <v>0</v>
      </c>
      <c r="H73" s="32"/>
      <c r="I73" s="43">
        <f t="shared" si="20"/>
        <v>0</v>
      </c>
      <c r="J73" s="46"/>
      <c r="K73" s="40">
        <f>F73-0</f>
        <v>0</v>
      </c>
      <c r="L73" s="43" t="e">
        <f>F73/0*100</f>
        <v>#DIV/0!</v>
      </c>
      <c r="M73" s="32">
        <f t="shared" si="22"/>
        <v>0</v>
      </c>
      <c r="N73" s="32">
        <f t="shared" si="22"/>
        <v>0</v>
      </c>
      <c r="O73" s="40">
        <f t="shared" si="21"/>
        <v>0</v>
      </c>
      <c r="P73" s="46"/>
      <c r="Q73" s="46"/>
      <c r="R73" s="105"/>
    </row>
    <row r="74" spans="2:18" ht="30.75">
      <c r="B74" s="23" t="s">
        <v>51</v>
      </c>
      <c r="C74" s="78">
        <v>19050000</v>
      </c>
      <c r="D74" s="25">
        <v>0</v>
      </c>
      <c r="E74" s="25">
        <v>0</v>
      </c>
      <c r="F74" s="163">
        <v>0.12</v>
      </c>
      <c r="G74" s="36">
        <f t="shared" si="19"/>
        <v>0.12</v>
      </c>
      <c r="H74" s="32"/>
      <c r="I74" s="43">
        <f t="shared" si="20"/>
        <v>0.12</v>
      </c>
      <c r="J74" s="43"/>
      <c r="K74" s="43">
        <f>F74-0.17</f>
        <v>-0.05000000000000002</v>
      </c>
      <c r="L74" s="43">
        <f>F74/0.17*100</f>
        <v>70.58823529411764</v>
      </c>
      <c r="M74" s="32">
        <f t="shared" si="22"/>
        <v>0</v>
      </c>
      <c r="N74" s="32">
        <f t="shared" si="22"/>
        <v>0.12</v>
      </c>
      <c r="O74" s="40">
        <f t="shared" si="21"/>
        <v>0.12</v>
      </c>
      <c r="P74" s="43"/>
      <c r="Q74" s="43"/>
      <c r="R74" s="103"/>
    </row>
    <row r="75" spans="2:18" ht="30">
      <c r="B75" s="29" t="s">
        <v>48</v>
      </c>
      <c r="C75" s="78"/>
      <c r="D75" s="30">
        <f>D72+D74+D73</f>
        <v>0</v>
      </c>
      <c r="E75" s="30">
        <f>E72+E74+E73</f>
        <v>0</v>
      </c>
      <c r="F75" s="164">
        <f>F72+F74+F73</f>
        <v>0.12</v>
      </c>
      <c r="G75" s="45">
        <f t="shared" si="19"/>
        <v>0.12</v>
      </c>
      <c r="H75" s="52"/>
      <c r="I75" s="44">
        <f t="shared" si="20"/>
        <v>0.12</v>
      </c>
      <c r="J75" s="44"/>
      <c r="K75" s="44">
        <f>K72+K73+K74</f>
        <v>-0.05000000000000002</v>
      </c>
      <c r="L75" s="44">
        <f>F75/0.17*100</f>
        <v>70.58823529411764</v>
      </c>
      <c r="M75" s="45">
        <f>M72+M74+M73</f>
        <v>0</v>
      </c>
      <c r="N75" s="45">
        <f>N72+N74+N73</f>
        <v>0.12</v>
      </c>
      <c r="O75" s="44">
        <f t="shared" si="21"/>
        <v>0.12</v>
      </c>
      <c r="P75" s="44"/>
      <c r="Q75" s="44"/>
      <c r="R75" s="102"/>
    </row>
    <row r="76" spans="2:18" ht="30.75">
      <c r="B76" s="12" t="s">
        <v>42</v>
      </c>
      <c r="C76" s="48">
        <v>24110900</v>
      </c>
      <c r="D76" s="25">
        <v>0</v>
      </c>
      <c r="E76" s="25">
        <v>0</v>
      </c>
      <c r="F76" s="163">
        <v>0.35</v>
      </c>
      <c r="G76" s="36">
        <f t="shared" si="19"/>
        <v>0.35</v>
      </c>
      <c r="H76" s="32"/>
      <c r="I76" s="43">
        <f t="shared" si="20"/>
        <v>0.35</v>
      </c>
      <c r="J76" s="43"/>
      <c r="K76" s="43">
        <f>F76-0.59</f>
        <v>-0.24</v>
      </c>
      <c r="L76" s="43">
        <f>F76/0.59*100</f>
        <v>59.32203389830508</v>
      </c>
      <c r="M76" s="32">
        <f>E76</f>
        <v>0</v>
      </c>
      <c r="N76" s="32">
        <f>F76</f>
        <v>0.35</v>
      </c>
      <c r="O76" s="40">
        <f t="shared" si="21"/>
        <v>0.35</v>
      </c>
      <c r="P76" s="43"/>
      <c r="Q76" s="43"/>
      <c r="R76" s="103"/>
    </row>
    <row r="77" spans="2:18" ht="15" hidden="1">
      <c r="B77" s="137"/>
      <c r="C77" s="48"/>
      <c r="D77" s="25"/>
      <c r="E77" s="25"/>
      <c r="F77" s="163"/>
      <c r="G77" s="36"/>
      <c r="H77" s="32"/>
      <c r="I77" s="43"/>
      <c r="J77" s="43"/>
      <c r="K77" s="43">
        <f>F77-0</f>
        <v>0</v>
      </c>
      <c r="L77" s="43"/>
      <c r="M77" s="32">
        <f>E77</f>
        <v>0</v>
      </c>
      <c r="N77" s="32">
        <f>F77</f>
        <v>0</v>
      </c>
      <c r="O77" s="40">
        <f t="shared" si="21"/>
        <v>0</v>
      </c>
      <c r="P77" s="43"/>
      <c r="Q77" s="43"/>
      <c r="R77" s="103"/>
    </row>
    <row r="78" spans="2:18" ht="23.25" customHeight="1">
      <c r="B78" s="14" t="s">
        <v>32</v>
      </c>
      <c r="C78" s="71"/>
      <c r="D78" s="24">
        <f>D65+D76+D71+D75</f>
        <v>0</v>
      </c>
      <c r="E78" s="24">
        <f>E65+E76+E71+E75</f>
        <v>0</v>
      </c>
      <c r="F78" s="165">
        <f>F65+F76+F71+F75+F77</f>
        <v>315.77000000000004</v>
      </c>
      <c r="G78" s="37">
        <f>F78-E78</f>
        <v>315.77000000000004</v>
      </c>
      <c r="H78" s="38"/>
      <c r="I78" s="28">
        <f>F78-D78</f>
        <v>315.77000000000004</v>
      </c>
      <c r="J78" s="28"/>
      <c r="K78" s="28">
        <f>K65+K71+K75+K76</f>
        <v>58.18000000000004</v>
      </c>
      <c r="L78" s="28">
        <f>F78/248.84*100</f>
        <v>126.8968011573702</v>
      </c>
      <c r="M78" s="24">
        <f>M65+M76+M71+M75</f>
        <v>0</v>
      </c>
      <c r="N78" s="24">
        <f>N65+N76+N71+N75+N77</f>
        <v>315.77000000000004</v>
      </c>
      <c r="O78" s="28">
        <f t="shared" si="21"/>
        <v>315.77000000000004</v>
      </c>
      <c r="P78" s="28"/>
      <c r="Q78" s="28">
        <f>N78-8104.96</f>
        <v>-7789.19</v>
      </c>
      <c r="R78" s="101">
        <f>N78/8104.96</f>
        <v>0.038960093572331024</v>
      </c>
    </row>
    <row r="79" spans="2:18" ht="17.25">
      <c r="B79" s="21" t="s">
        <v>33</v>
      </c>
      <c r="C79" s="71"/>
      <c r="D79" s="24">
        <f>D58+D78</f>
        <v>163963.24999999997</v>
      </c>
      <c r="E79" s="24">
        <f>E58+E78</f>
        <v>54894.32</v>
      </c>
      <c r="F79" s="165">
        <f>F58+F78</f>
        <v>62928.369999999995</v>
      </c>
      <c r="G79" s="37">
        <f>F79-E79</f>
        <v>8034.049999999996</v>
      </c>
      <c r="H79" s="38">
        <f>F79/E79*100</f>
        <v>114.63548505564873</v>
      </c>
      <c r="I79" s="28">
        <f>F79-D79</f>
        <v>-101034.87999999998</v>
      </c>
      <c r="J79" s="28">
        <f>F79/D79*100</f>
        <v>38.379557614282476</v>
      </c>
      <c r="K79" s="28">
        <f>K58+K78</f>
        <v>23931.239999999998</v>
      </c>
      <c r="L79" s="28">
        <f>F79/38987.36*100</f>
        <v>161.4071073291446</v>
      </c>
      <c r="M79" s="15">
        <f>M58+M78</f>
        <v>54894.32</v>
      </c>
      <c r="N79" s="15">
        <f>N58+N78</f>
        <v>62928.369999999995</v>
      </c>
      <c r="O79" s="28">
        <f t="shared" si="21"/>
        <v>8034.049999999996</v>
      </c>
      <c r="P79" s="28">
        <f>N79/M79*100</f>
        <v>114.63548505564873</v>
      </c>
      <c r="Q79" s="28">
        <f>N79-42872.96</f>
        <v>20055.409999999996</v>
      </c>
      <c r="R79" s="101">
        <f>N79/42872.96</f>
        <v>1.4677869221066144</v>
      </c>
    </row>
    <row r="80" spans="2:14" ht="15">
      <c r="B80" s="20" t="s">
        <v>35</v>
      </c>
      <c r="N80" s="26"/>
    </row>
    <row r="81" spans="2:4" ht="15">
      <c r="B81" s="4" t="s">
        <v>37</v>
      </c>
      <c r="C81" s="81">
        <v>0</v>
      </c>
      <c r="D81" s="4" t="s">
        <v>36</v>
      </c>
    </row>
    <row r="82" spans="2:17" ht="30.75">
      <c r="B82" s="57" t="s">
        <v>54</v>
      </c>
      <c r="C82" s="31">
        <f>IF(O58&lt;0,ABS(O58/C81),0)</f>
        <v>0</v>
      </c>
      <c r="D82" s="4" t="s">
        <v>24</v>
      </c>
      <c r="G82" s="294"/>
      <c r="H82" s="294"/>
      <c r="I82" s="294"/>
      <c r="J82" s="294"/>
      <c r="K82" s="90"/>
      <c r="L82" s="90"/>
      <c r="P82" s="26"/>
      <c r="Q82" s="26"/>
    </row>
    <row r="83" spans="2:15" ht="34.5" customHeight="1">
      <c r="B83" s="58" t="s">
        <v>56</v>
      </c>
      <c r="C83" s="87">
        <v>42398</v>
      </c>
      <c r="D83" s="31">
        <v>8683.3</v>
      </c>
      <c r="G83" s="4" t="s">
        <v>59</v>
      </c>
      <c r="N83" s="286"/>
      <c r="O83" s="286"/>
    </row>
    <row r="84" spans="3:15" ht="15">
      <c r="C84" s="87">
        <v>42397</v>
      </c>
      <c r="D84" s="31">
        <v>8685</v>
      </c>
      <c r="F84" s="166" t="s">
        <v>59</v>
      </c>
      <c r="G84" s="280"/>
      <c r="H84" s="280"/>
      <c r="I84" s="131"/>
      <c r="J84" s="283"/>
      <c r="K84" s="283"/>
      <c r="L84" s="283"/>
      <c r="M84" s="283"/>
      <c r="N84" s="286"/>
      <c r="O84" s="286"/>
    </row>
    <row r="85" spans="3:15" ht="15.75" customHeight="1">
      <c r="C85" s="87">
        <v>42396</v>
      </c>
      <c r="D85" s="31">
        <v>4820.3</v>
      </c>
      <c r="F85" s="167"/>
      <c r="G85" s="280"/>
      <c r="H85" s="280"/>
      <c r="I85" s="131"/>
      <c r="J85" s="287"/>
      <c r="K85" s="287"/>
      <c r="L85" s="287"/>
      <c r="M85" s="287"/>
      <c r="N85" s="286"/>
      <c r="O85" s="286"/>
    </row>
    <row r="86" spans="3:13" ht="15.75" customHeight="1">
      <c r="C86" s="87"/>
      <c r="F86" s="167"/>
      <c r="G86" s="282"/>
      <c r="H86" s="282"/>
      <c r="I86" s="139"/>
      <c r="J86" s="283"/>
      <c r="K86" s="283"/>
      <c r="L86" s="283"/>
      <c r="M86" s="283"/>
    </row>
    <row r="87" spans="2:13" ht="18.75" customHeight="1">
      <c r="B87" s="284" t="s">
        <v>57</v>
      </c>
      <c r="C87" s="285"/>
      <c r="D87" s="148">
        <v>300.92</v>
      </c>
      <c r="E87" s="74"/>
      <c r="F87" s="168"/>
      <c r="G87" s="280"/>
      <c r="H87" s="280"/>
      <c r="I87" s="141"/>
      <c r="J87" s="283"/>
      <c r="K87" s="283"/>
      <c r="L87" s="283"/>
      <c r="M87" s="283"/>
    </row>
    <row r="88" spans="6:12" ht="9.75" customHeight="1">
      <c r="F88" s="167"/>
      <c r="G88" s="280"/>
      <c r="H88" s="280"/>
      <c r="I88" s="73"/>
      <c r="J88" s="74"/>
      <c r="K88" s="74"/>
      <c r="L88" s="74"/>
    </row>
    <row r="89" spans="2:12" ht="22.5" customHeight="1" hidden="1">
      <c r="B89" s="278" t="s">
        <v>60</v>
      </c>
      <c r="C89" s="279"/>
      <c r="D89" s="86">
        <v>0</v>
      </c>
      <c r="E89" s="56" t="s">
        <v>24</v>
      </c>
      <c r="F89" s="167"/>
      <c r="G89" s="280"/>
      <c r="H89" s="280"/>
      <c r="I89" s="73"/>
      <c r="J89" s="74"/>
      <c r="K89" s="74"/>
      <c r="L89" s="74"/>
    </row>
    <row r="90" spans="4:15" ht="15">
      <c r="D90" s="84"/>
      <c r="F90" s="167"/>
      <c r="G90" s="74"/>
      <c r="H90" s="74"/>
      <c r="I90" s="74"/>
      <c r="N90" s="280"/>
      <c r="O90" s="280"/>
    </row>
    <row r="91" spans="4:15" ht="15">
      <c r="D91" s="83"/>
      <c r="I91" s="31"/>
      <c r="N91" s="281"/>
      <c r="O91" s="281"/>
    </row>
    <row r="92" spans="14:15" ht="15">
      <c r="N92" s="280"/>
      <c r="O92" s="280"/>
    </row>
    <row r="96" ht="15">
      <c r="E96" s="4" t="s">
        <v>59</v>
      </c>
    </row>
  </sheetData>
  <sheetProtection/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F4:F5"/>
    <mergeCell ref="G4:G5"/>
    <mergeCell ref="H4:H5"/>
    <mergeCell ref="I4:I5"/>
    <mergeCell ref="Q5:R5"/>
    <mergeCell ref="P4:P5"/>
    <mergeCell ref="G82:J82"/>
    <mergeCell ref="N83:O83"/>
    <mergeCell ref="G84:H84"/>
    <mergeCell ref="J84:M84"/>
    <mergeCell ref="N84:O84"/>
    <mergeCell ref="J4:J5"/>
    <mergeCell ref="N4:N5"/>
    <mergeCell ref="O4:O5"/>
    <mergeCell ref="K5:L5"/>
    <mergeCell ref="G85:H85"/>
    <mergeCell ref="J85:M85"/>
    <mergeCell ref="N85:O85"/>
    <mergeCell ref="G86:H86"/>
    <mergeCell ref="J86:M86"/>
    <mergeCell ref="B87:C87"/>
    <mergeCell ref="G87:H87"/>
    <mergeCell ref="J87:M87"/>
    <mergeCell ref="G88:H88"/>
    <mergeCell ref="N92:O92"/>
    <mergeCell ref="B89:C89"/>
    <mergeCell ref="G89:H89"/>
    <mergeCell ref="N90:O90"/>
    <mergeCell ref="N91:O91"/>
  </mergeCells>
  <printOptions/>
  <pageMargins left="0.1968503937007874" right="0.1968503937007874" top="0.1968503937007874" bottom="0.1968503937007874" header="0.1968503937007874" footer="0.1968503937007874"/>
  <pageSetup fitToHeight="1" fitToWidth="1"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dohod3</cp:lastModifiedBy>
  <cp:lastPrinted>2016-07-22T09:44:25Z</cp:lastPrinted>
  <dcterms:created xsi:type="dcterms:W3CDTF">2003-07-28T11:27:56Z</dcterms:created>
  <dcterms:modified xsi:type="dcterms:W3CDTF">2016-07-25T07:49:01Z</dcterms:modified>
  <cp:category/>
  <cp:version/>
  <cp:contentType/>
  <cp:contentStatus/>
</cp:coreProperties>
</file>